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yanstrain/Downloads/"/>
    </mc:Choice>
  </mc:AlternateContent>
  <xr:revisionPtr revIDLastSave="0" documentId="13_ncr:1_{2026CF13-BBDE-2141-9856-8C6E66A1A0A3}" xr6:coauthVersionLast="45" xr6:coauthVersionMax="45" xr10:uidLastSave="{00000000-0000-0000-0000-000000000000}"/>
  <bookViews>
    <workbookView xWindow="4760" yWindow="7320" windowWidth="40820" windowHeight="19700" activeTab="3" xr2:uid="{9E7B20A0-9C85-674A-9251-FF519462E887}"/>
  </bookViews>
  <sheets>
    <sheet name="New Trades" sheetId="3" r:id="rId1"/>
    <sheet name="Credit Spreads" sheetId="1" r:id="rId2"/>
    <sheet name="Covid Down" sheetId="13" r:id="rId3"/>
    <sheet name="Covid Back Up" sheetId="12" r:id="rId4"/>
    <sheet name="Straddles" sheetId="2" r:id="rId5"/>
    <sheet name="Covered Call" sheetId="4" r:id="rId6"/>
    <sheet name="Call Purchase" sheetId="5" r:id="rId7"/>
    <sheet name="Put Purchase" sheetId="8" r:id="rId8"/>
    <sheet name="Short Put" sheetId="10" r:id="rId9"/>
    <sheet name="Totals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1" l="1"/>
  <c r="U2" i="1"/>
  <c r="P2" i="1"/>
  <c r="N2" i="1"/>
  <c r="L2" i="1"/>
  <c r="K2" i="1"/>
  <c r="J2" i="1"/>
  <c r="F2" i="1"/>
  <c r="T75" i="1"/>
  <c r="U75" i="1"/>
  <c r="V75" i="1"/>
  <c r="T76" i="1"/>
  <c r="U76" i="1"/>
  <c r="V76" i="1"/>
  <c r="O76" i="1" l="1"/>
  <c r="P76" i="1"/>
  <c r="F76" i="1"/>
  <c r="T65" i="1" l="1"/>
  <c r="T64" i="1"/>
  <c r="U74" i="1"/>
  <c r="V74" i="1"/>
  <c r="F75" i="1"/>
  <c r="O75" i="1"/>
  <c r="P75" i="1" s="1"/>
  <c r="O74" i="1" l="1"/>
  <c r="P74" i="1" s="1"/>
  <c r="F74" i="1"/>
  <c r="U73" i="1" l="1"/>
  <c r="V73" i="1"/>
  <c r="U72" i="1"/>
  <c r="V72" i="1"/>
  <c r="O73" i="1"/>
  <c r="P73" i="1"/>
  <c r="F73" i="1" l="1"/>
  <c r="K73" i="1"/>
  <c r="M73" i="1" l="1"/>
  <c r="V41" i="12"/>
  <c r="V40" i="12"/>
  <c r="V5" i="13"/>
  <c r="U3" i="13"/>
  <c r="U2" i="13"/>
  <c r="S3" i="13"/>
  <c r="S2" i="13"/>
  <c r="O3" i="13"/>
  <c r="K3" i="13"/>
  <c r="M3" i="13" s="1"/>
  <c r="F3" i="13"/>
  <c r="K2" i="13"/>
  <c r="P2" i="13" s="1"/>
  <c r="F2" i="13"/>
  <c r="T2" i="13"/>
  <c r="T3" i="13" s="1"/>
  <c r="V2" i="13"/>
  <c r="Q5" i="13"/>
  <c r="F37" i="1"/>
  <c r="K37" i="1"/>
  <c r="M37" i="1"/>
  <c r="Q37" i="12"/>
  <c r="V38" i="12"/>
  <c r="V37" i="12"/>
  <c r="V30" i="12"/>
  <c r="V31" i="12" s="1"/>
  <c r="V32" i="12" s="1"/>
  <c r="V33" i="12" s="1"/>
  <c r="V34" i="12" s="1"/>
  <c r="V35" i="12" s="1"/>
  <c r="V28" i="12"/>
  <c r="V29" i="12" s="1"/>
  <c r="U29" i="12"/>
  <c r="U28" i="12"/>
  <c r="V17" i="12"/>
  <c r="V18" i="12" s="1"/>
  <c r="V19" i="12" s="1"/>
  <c r="V20" i="12" s="1"/>
  <c r="V21" i="12" s="1"/>
  <c r="V22" i="12" s="1"/>
  <c r="V23" i="12" s="1"/>
  <c r="V24" i="12" s="1"/>
  <c r="V25" i="12" s="1"/>
  <c r="V26" i="12" s="1"/>
  <c r="V27" i="12" s="1"/>
  <c r="V16" i="12"/>
  <c r="V15" i="12"/>
  <c r="U15" i="12"/>
  <c r="V3" i="12"/>
  <c r="V4" i="12"/>
  <c r="V5" i="12"/>
  <c r="V6" i="12"/>
  <c r="V7" i="12" s="1"/>
  <c r="V8" i="12" s="1"/>
  <c r="V9" i="12" s="1"/>
  <c r="V10" i="12" s="1"/>
  <c r="V11" i="12" s="1"/>
  <c r="V12" i="12" s="1"/>
  <c r="V13" i="12" s="1"/>
  <c r="V14" i="12" s="1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V2" i="12"/>
  <c r="U3" i="12"/>
  <c r="U4" i="12"/>
  <c r="U5" i="12"/>
  <c r="U6" i="12"/>
  <c r="U7" i="12"/>
  <c r="U8" i="12"/>
  <c r="U9" i="12"/>
  <c r="U10" i="12"/>
  <c r="U11" i="12"/>
  <c r="U12" i="12"/>
  <c r="U13" i="12"/>
  <c r="U14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30" i="12"/>
  <c r="U31" i="12"/>
  <c r="U32" i="12"/>
  <c r="U33" i="12"/>
  <c r="U34" i="12"/>
  <c r="U35" i="12"/>
  <c r="U2" i="12"/>
  <c r="T5" i="12"/>
  <c r="T4" i="12"/>
  <c r="T3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T2" i="12"/>
  <c r="S2" i="12"/>
  <c r="O35" i="12"/>
  <c r="P35" i="12" s="1"/>
  <c r="K35" i="12"/>
  <c r="M35" i="12" s="1"/>
  <c r="F35" i="12"/>
  <c r="O34" i="12"/>
  <c r="P34" i="12" s="1"/>
  <c r="K34" i="12"/>
  <c r="M34" i="12" s="1"/>
  <c r="F34" i="12"/>
  <c r="O33" i="12"/>
  <c r="P33" i="12" s="1"/>
  <c r="K33" i="12"/>
  <c r="M33" i="12" s="1"/>
  <c r="F33" i="12"/>
  <c r="O32" i="12"/>
  <c r="P32" i="12" s="1"/>
  <c r="K32" i="12"/>
  <c r="M32" i="12" s="1"/>
  <c r="F32" i="12"/>
  <c r="O31" i="12"/>
  <c r="P31" i="12" s="1"/>
  <c r="K31" i="12"/>
  <c r="M31" i="12" s="1"/>
  <c r="F31" i="12"/>
  <c r="O30" i="12"/>
  <c r="P30" i="12" s="1"/>
  <c r="K30" i="12"/>
  <c r="M30" i="12" s="1"/>
  <c r="F30" i="12"/>
  <c r="O29" i="12"/>
  <c r="P29" i="12" s="1"/>
  <c r="K29" i="12"/>
  <c r="M29" i="12" s="1"/>
  <c r="F29" i="12"/>
  <c r="O28" i="12"/>
  <c r="P28" i="12" s="1"/>
  <c r="K28" i="12"/>
  <c r="M28" i="12" s="1"/>
  <c r="F28" i="12"/>
  <c r="O27" i="12"/>
  <c r="P27" i="12" s="1"/>
  <c r="K27" i="12"/>
  <c r="M27" i="12" s="1"/>
  <c r="F27" i="12"/>
  <c r="O26" i="12"/>
  <c r="P26" i="12" s="1"/>
  <c r="K26" i="12"/>
  <c r="M26" i="12" s="1"/>
  <c r="F26" i="12"/>
  <c r="O25" i="12"/>
  <c r="P25" i="12" s="1"/>
  <c r="K25" i="12"/>
  <c r="M25" i="12" s="1"/>
  <c r="F25" i="12"/>
  <c r="O24" i="12"/>
  <c r="P24" i="12" s="1"/>
  <c r="K24" i="12"/>
  <c r="M24" i="12" s="1"/>
  <c r="F24" i="12"/>
  <c r="O23" i="12"/>
  <c r="P23" i="12" s="1"/>
  <c r="K23" i="12"/>
  <c r="M23" i="12" s="1"/>
  <c r="F23" i="12"/>
  <c r="O22" i="12"/>
  <c r="P22" i="12" s="1"/>
  <c r="K22" i="12"/>
  <c r="M22" i="12" s="1"/>
  <c r="F22" i="12"/>
  <c r="O21" i="12"/>
  <c r="P21" i="12" s="1"/>
  <c r="K21" i="12"/>
  <c r="M21" i="12" s="1"/>
  <c r="F21" i="12"/>
  <c r="O20" i="12"/>
  <c r="P20" i="12" s="1"/>
  <c r="K20" i="12"/>
  <c r="M20" i="12" s="1"/>
  <c r="F20" i="12"/>
  <c r="O19" i="12"/>
  <c r="P19" i="12" s="1"/>
  <c r="K19" i="12"/>
  <c r="M19" i="12" s="1"/>
  <c r="F19" i="12"/>
  <c r="O18" i="12"/>
  <c r="P18" i="12" s="1"/>
  <c r="K18" i="12"/>
  <c r="M18" i="12" s="1"/>
  <c r="F18" i="12"/>
  <c r="O17" i="12"/>
  <c r="P17" i="12" s="1"/>
  <c r="K17" i="12"/>
  <c r="M17" i="12" s="1"/>
  <c r="F17" i="12"/>
  <c r="O16" i="12"/>
  <c r="P16" i="12" s="1"/>
  <c r="K16" i="12"/>
  <c r="M16" i="12" s="1"/>
  <c r="F16" i="12"/>
  <c r="K15" i="12"/>
  <c r="M15" i="12" s="1"/>
  <c r="F15" i="12"/>
  <c r="O14" i="12"/>
  <c r="K14" i="12"/>
  <c r="F14" i="12"/>
  <c r="O13" i="12"/>
  <c r="P13" i="12" s="1"/>
  <c r="M13" i="12"/>
  <c r="F13" i="12"/>
  <c r="O12" i="12"/>
  <c r="K12" i="12"/>
  <c r="M12" i="12" s="1"/>
  <c r="F12" i="12"/>
  <c r="O11" i="12"/>
  <c r="K11" i="12"/>
  <c r="F11" i="12"/>
  <c r="P10" i="12"/>
  <c r="O10" i="12"/>
  <c r="K10" i="12"/>
  <c r="M10" i="12" s="1"/>
  <c r="F10" i="12"/>
  <c r="P9" i="12"/>
  <c r="O9" i="12"/>
  <c r="K9" i="12"/>
  <c r="M9" i="12" s="1"/>
  <c r="F9" i="12"/>
  <c r="P8" i="12"/>
  <c r="O8" i="12"/>
  <c r="K8" i="12"/>
  <c r="M8" i="12" s="1"/>
  <c r="F8" i="12"/>
  <c r="P7" i="12"/>
  <c r="O7" i="12"/>
  <c r="F7" i="12"/>
  <c r="O6" i="12"/>
  <c r="P6" i="12" s="1"/>
  <c r="M6" i="12"/>
  <c r="K6" i="12"/>
  <c r="F6" i="12"/>
  <c r="O5" i="12"/>
  <c r="P5" i="12" s="1"/>
  <c r="M5" i="12"/>
  <c r="K5" i="12"/>
  <c r="F5" i="12"/>
  <c r="O4" i="12"/>
  <c r="P4" i="12" s="1"/>
  <c r="M4" i="12"/>
  <c r="K4" i="12"/>
  <c r="F4" i="12"/>
  <c r="O3" i="12"/>
  <c r="P3" i="12" s="1"/>
  <c r="M3" i="12"/>
  <c r="K3" i="12"/>
  <c r="F3" i="12"/>
  <c r="O2" i="12"/>
  <c r="M2" i="12"/>
  <c r="K2" i="12"/>
  <c r="F2" i="12"/>
  <c r="O72" i="1"/>
  <c r="F72" i="1"/>
  <c r="K72" i="1"/>
  <c r="V3" i="13" l="1"/>
  <c r="V6" i="13"/>
  <c r="P3" i="13"/>
  <c r="P72" i="1"/>
  <c r="P12" i="12"/>
  <c r="P11" i="12"/>
  <c r="P15" i="12"/>
  <c r="P14" i="12"/>
  <c r="P2" i="12"/>
  <c r="M72" i="1"/>
  <c r="V71" i="1" l="1"/>
  <c r="V70" i="1"/>
  <c r="O71" i="1" l="1"/>
  <c r="U71" i="1" s="1"/>
  <c r="F71" i="1"/>
  <c r="K71" i="1"/>
  <c r="P71" i="1" l="1"/>
  <c r="M71" i="1"/>
  <c r="V69" i="1"/>
  <c r="V68" i="1"/>
  <c r="V67" i="1"/>
  <c r="O70" i="1" l="1"/>
  <c r="U70" i="1" s="1"/>
  <c r="F70" i="1"/>
  <c r="K70" i="1"/>
  <c r="P70" i="1" l="1"/>
  <c r="M70" i="1"/>
  <c r="O69" i="1" l="1"/>
  <c r="U69" i="1" s="1"/>
  <c r="K69" i="1"/>
  <c r="M69" i="1" s="1"/>
  <c r="F69" i="1"/>
  <c r="P69" i="1" l="1"/>
  <c r="O68" i="1"/>
  <c r="U68" i="1" s="1"/>
  <c r="F68" i="1" l="1"/>
  <c r="K68" i="1"/>
  <c r="P68" i="1" s="1"/>
  <c r="M68" i="1" l="1"/>
  <c r="V66" i="1"/>
  <c r="O67" i="1"/>
  <c r="K67" i="1"/>
  <c r="M67" i="1" s="1"/>
  <c r="F67" i="1"/>
  <c r="P67" i="1" l="1"/>
  <c r="U67" i="1"/>
  <c r="O66" i="1"/>
  <c r="F66" i="1"/>
  <c r="K66" i="1"/>
  <c r="P66" i="1" l="1"/>
  <c r="U66" i="1"/>
  <c r="M66" i="1"/>
  <c r="U65" i="1" l="1"/>
  <c r="U64" i="1"/>
  <c r="V63" i="1"/>
  <c r="O65" i="1" l="1"/>
  <c r="F65" i="1"/>
  <c r="K65" i="1"/>
  <c r="P65" i="1" l="1"/>
  <c r="V65" i="1"/>
  <c r="M65" i="1"/>
  <c r="P58" i="2"/>
  <c r="P53" i="2"/>
  <c r="P48" i="2"/>
  <c r="P43" i="2"/>
  <c r="P33" i="2"/>
  <c r="P28" i="2"/>
  <c r="P68" i="2"/>
  <c r="P63" i="2"/>
  <c r="P38" i="2"/>
  <c r="P21" i="2"/>
  <c r="P12" i="2"/>
  <c r="P16" i="2"/>
  <c r="P14" i="2"/>
  <c r="P10" i="2"/>
  <c r="P8" i="2"/>
  <c r="P6" i="2"/>
  <c r="P4" i="2"/>
  <c r="P2" i="2" s="1"/>
  <c r="O64" i="1" l="1"/>
  <c r="F64" i="1"/>
  <c r="K64" i="1"/>
  <c r="P64" i="1" l="1"/>
  <c r="V64" i="1"/>
  <c r="M64" i="1"/>
  <c r="V62" i="1" l="1"/>
  <c r="V61" i="1"/>
  <c r="V60" i="1"/>
  <c r="O63" i="1" l="1"/>
  <c r="F63" i="1"/>
  <c r="K63" i="1"/>
  <c r="U63" i="1" l="1"/>
  <c r="P63" i="1"/>
  <c r="M63" i="1"/>
  <c r="O62" i="1" l="1"/>
  <c r="U62" i="1" s="1"/>
  <c r="F62" i="1"/>
  <c r="K62" i="1"/>
  <c r="P62" i="1" l="1"/>
  <c r="M62" i="1"/>
  <c r="O61" i="1"/>
  <c r="U61" i="1" s="1"/>
  <c r="V59" i="1"/>
  <c r="F61" i="1"/>
  <c r="K61" i="1"/>
  <c r="P61" i="1" l="1"/>
  <c r="M61" i="1"/>
  <c r="O60" i="1" l="1"/>
  <c r="F60" i="1"/>
  <c r="K60" i="1"/>
  <c r="U60" i="1" l="1"/>
  <c r="P60" i="1"/>
  <c r="M60" i="1"/>
  <c r="V58" i="1"/>
  <c r="O59" i="1"/>
  <c r="U59" i="1" s="1"/>
  <c r="F59" i="1"/>
  <c r="K59" i="1"/>
  <c r="P59" i="1" l="1"/>
  <c r="M59" i="1"/>
  <c r="O58" i="1" l="1"/>
  <c r="F58" i="1"/>
  <c r="K58" i="1"/>
  <c r="P58" i="1" l="1"/>
  <c r="U58" i="1"/>
  <c r="M58" i="1"/>
  <c r="V57" i="1" l="1"/>
  <c r="V56" i="1"/>
  <c r="V55" i="1"/>
  <c r="V54" i="1"/>
  <c r="O57" i="1" l="1"/>
  <c r="U57" i="1" s="1"/>
  <c r="F57" i="1"/>
  <c r="K57" i="1"/>
  <c r="P57" i="1" l="1"/>
  <c r="M57" i="1"/>
  <c r="O56" i="1" l="1"/>
  <c r="U56" i="1" s="1"/>
  <c r="K56" i="1"/>
  <c r="M56" i="1" s="1"/>
  <c r="F56" i="1"/>
  <c r="P56" i="1" l="1"/>
  <c r="O55" i="1"/>
  <c r="U55" i="1" s="1"/>
  <c r="F55" i="1"/>
  <c r="K55" i="1"/>
  <c r="P55" i="1" l="1"/>
  <c r="M55" i="1"/>
  <c r="V51" i="1"/>
  <c r="V53" i="1"/>
  <c r="V52" i="1"/>
  <c r="O54" i="1"/>
  <c r="U54" i="1" s="1"/>
  <c r="F54" i="1"/>
  <c r="K54" i="1"/>
  <c r="P54" i="1" l="1"/>
  <c r="M54" i="1"/>
  <c r="O53" i="1" l="1"/>
  <c r="F53" i="1"/>
  <c r="K53" i="1"/>
  <c r="P53" i="1" l="1"/>
  <c r="U53" i="1"/>
  <c r="M53" i="1"/>
  <c r="O52" i="1" l="1"/>
  <c r="U52" i="1" s="1"/>
  <c r="V49" i="1"/>
  <c r="V50" i="1"/>
  <c r="U51" i="1"/>
  <c r="F52" i="1"/>
  <c r="K52" i="1"/>
  <c r="P52" i="1" l="1"/>
  <c r="M52" i="1"/>
  <c r="F51" i="1"/>
  <c r="K51" i="1"/>
  <c r="P51" i="1" s="1"/>
  <c r="M51" i="1" l="1"/>
  <c r="O50" i="1" l="1"/>
  <c r="U50" i="1" s="1"/>
  <c r="F50" i="1"/>
  <c r="K50" i="1"/>
  <c r="P50" i="1" l="1"/>
  <c r="O49" i="1"/>
  <c r="M49" i="1"/>
  <c r="F49" i="1"/>
  <c r="P49" i="1" l="1"/>
  <c r="U49" i="1"/>
  <c r="V45" i="1"/>
  <c r="V46" i="1"/>
  <c r="V47" i="1"/>
  <c r="V48" i="1"/>
  <c r="V44" i="1" l="1"/>
  <c r="O48" i="1" l="1"/>
  <c r="F48" i="1"/>
  <c r="K48" i="1"/>
  <c r="M48" i="1" s="1"/>
  <c r="P48" i="1" l="1"/>
  <c r="U48" i="1"/>
  <c r="O47" i="1"/>
  <c r="U47" i="1" s="1"/>
  <c r="F47" i="1"/>
  <c r="K47" i="1"/>
  <c r="P47" i="1" l="1"/>
  <c r="O46" i="1"/>
  <c r="U46" i="1" s="1"/>
  <c r="F46" i="1"/>
  <c r="K46" i="1"/>
  <c r="M46" i="1" s="1"/>
  <c r="P46" i="1" l="1"/>
  <c r="O43" i="1"/>
  <c r="O44" i="1"/>
  <c r="U44" i="1" s="1"/>
  <c r="O45" i="1"/>
  <c r="U45" i="1" s="1"/>
  <c r="F45" i="1"/>
  <c r="K45" i="1"/>
  <c r="P45" i="1" l="1"/>
  <c r="M45" i="1"/>
  <c r="F44" i="1" l="1"/>
  <c r="K44" i="1"/>
  <c r="P44" i="1" s="1"/>
  <c r="M44" i="1" l="1"/>
  <c r="I2" i="2"/>
  <c r="O37" i="1" l="1"/>
  <c r="V43" i="1"/>
  <c r="U43" i="1"/>
  <c r="V42" i="1"/>
  <c r="P43" i="1"/>
  <c r="F43" i="1"/>
  <c r="V39" i="1" l="1"/>
  <c r="V40" i="1"/>
  <c r="V41" i="1"/>
  <c r="O42" i="1" l="1"/>
  <c r="F42" i="1"/>
  <c r="K42" i="1"/>
  <c r="M42" i="1" s="1"/>
  <c r="P42" i="1" l="1"/>
  <c r="U42" i="1"/>
  <c r="O41" i="1"/>
  <c r="U41" i="1" s="1"/>
  <c r="F41" i="1"/>
  <c r="K41" i="1"/>
  <c r="M41" i="1" s="1"/>
  <c r="P41" i="1" l="1"/>
  <c r="O40" i="1"/>
  <c r="U40" i="1" s="1"/>
  <c r="O39" i="1"/>
  <c r="U39" i="1" s="1"/>
  <c r="F40" i="1" l="1"/>
  <c r="K40" i="1"/>
  <c r="P40" i="1" l="1"/>
  <c r="M40" i="1"/>
  <c r="U37" i="1"/>
  <c r="V37" i="1"/>
  <c r="V38" i="1"/>
  <c r="F39" i="1"/>
  <c r="F38" i="1"/>
  <c r="K39" i="1"/>
  <c r="M39" i="1" s="1"/>
  <c r="O38" i="1"/>
  <c r="U38" i="1" s="1"/>
  <c r="K38" i="1"/>
  <c r="M38" i="1" s="1"/>
  <c r="P39" i="1" l="1"/>
  <c r="P38" i="1"/>
  <c r="V68" i="2" l="1"/>
  <c r="P37" i="1" l="1"/>
  <c r="U36" i="1" l="1"/>
  <c r="V36" i="1"/>
  <c r="F36" i="1"/>
  <c r="K36" i="1"/>
  <c r="P36" i="1" s="1"/>
  <c r="V63" i="2" l="1"/>
  <c r="S6" i="10" l="1"/>
  <c r="M6" i="10"/>
  <c r="N6" i="10" s="1"/>
  <c r="I6" i="10"/>
  <c r="T6" i="10" l="1"/>
  <c r="R2" i="10"/>
  <c r="J4" i="10"/>
  <c r="N2" i="10"/>
  <c r="P4" i="10" l="1"/>
  <c r="Q6" i="10"/>
  <c r="P6" i="10"/>
  <c r="M71" i="2"/>
  <c r="J71" i="2"/>
  <c r="F68" i="2"/>
  <c r="N71" i="2" l="1"/>
  <c r="T71" i="2"/>
  <c r="Q71" i="2"/>
  <c r="M66" i="2"/>
  <c r="J66" i="2"/>
  <c r="F63" i="2"/>
  <c r="F58" i="2"/>
  <c r="V35" i="1"/>
  <c r="O35" i="1"/>
  <c r="P35" i="1" s="1"/>
  <c r="F35" i="1"/>
  <c r="F34" i="1"/>
  <c r="K35" i="1"/>
  <c r="U35" i="1" l="1"/>
  <c r="N66" i="2"/>
  <c r="W68" i="2"/>
  <c r="S71" i="2"/>
  <c r="T66" i="2"/>
  <c r="V58" i="2"/>
  <c r="W63" i="2" l="1"/>
  <c r="S66" i="2"/>
  <c r="Q66" i="2"/>
  <c r="S51" i="2"/>
  <c r="M61" i="2"/>
  <c r="J61" i="2"/>
  <c r="N61" i="2" l="1"/>
  <c r="S61" i="2"/>
  <c r="T61" i="2" l="1"/>
  <c r="Q61" i="2"/>
  <c r="W58" i="2"/>
  <c r="F48" i="2"/>
  <c r="F43" i="2"/>
  <c r="F53" i="2"/>
  <c r="F38" i="2"/>
  <c r="V24" i="1" l="1"/>
  <c r="V25" i="1"/>
  <c r="V26" i="1"/>
  <c r="V27" i="1"/>
  <c r="V28" i="1"/>
  <c r="V29" i="1"/>
  <c r="V30" i="1"/>
  <c r="V31" i="1"/>
  <c r="V32" i="1"/>
  <c r="V33" i="1"/>
  <c r="V34" i="1"/>
  <c r="V53" i="2"/>
  <c r="W53" i="2" s="1"/>
  <c r="V48" i="2"/>
  <c r="W48" i="2" s="1"/>
  <c r="V43" i="2"/>
  <c r="W43" i="2" s="1"/>
  <c r="V38" i="2"/>
  <c r="W38" i="2" s="1"/>
  <c r="O2" i="5" l="1"/>
  <c r="L2" i="5"/>
  <c r="J2" i="5"/>
  <c r="F2" i="5"/>
  <c r="F4" i="5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5" i="1"/>
  <c r="F14" i="1"/>
  <c r="F5" i="1"/>
  <c r="F6" i="1"/>
  <c r="F7" i="1"/>
  <c r="F8" i="1"/>
  <c r="F9" i="1"/>
  <c r="F10" i="1"/>
  <c r="F11" i="1"/>
  <c r="F12" i="1"/>
  <c r="F13" i="1"/>
  <c r="F4" i="1"/>
  <c r="F21" i="2"/>
  <c r="F12" i="2"/>
  <c r="F8" i="2"/>
  <c r="F33" i="2"/>
  <c r="F28" i="2"/>
  <c r="F23" i="2"/>
  <c r="F16" i="2"/>
  <c r="F14" i="2"/>
  <c r="F10" i="2"/>
  <c r="F6" i="2"/>
  <c r="F4" i="2"/>
  <c r="F8" i="4"/>
  <c r="F6" i="4"/>
  <c r="F4" i="4"/>
  <c r="L2" i="4"/>
  <c r="J2" i="4"/>
  <c r="Y4" i="2"/>
  <c r="Y6" i="2" s="1"/>
  <c r="Y8" i="2" s="1"/>
  <c r="Y10" i="2" s="1"/>
  <c r="Y12" i="2" s="1"/>
  <c r="Y14" i="2" s="1"/>
  <c r="S26" i="2"/>
  <c r="T21" i="2"/>
  <c r="S36" i="2"/>
  <c r="S31" i="2"/>
  <c r="S19" i="2"/>
  <c r="J19" i="2"/>
  <c r="F2" i="2" l="1"/>
  <c r="F2" i="4"/>
  <c r="M56" i="2"/>
  <c r="J56" i="2"/>
  <c r="N56" i="2" l="1"/>
  <c r="T56" i="2" s="1"/>
  <c r="Q56" i="2" l="1"/>
  <c r="S56" i="2"/>
  <c r="M51" i="2"/>
  <c r="J51" i="2"/>
  <c r="N51" i="2" l="1"/>
  <c r="T51" i="2" s="1"/>
  <c r="Q51" i="2"/>
  <c r="M46" i="2"/>
  <c r="J46" i="2"/>
  <c r="N46" i="2" l="1"/>
  <c r="T46" i="2" s="1"/>
  <c r="Q46" i="2"/>
  <c r="S46" i="2"/>
  <c r="M41" i="2"/>
  <c r="J41" i="2"/>
  <c r="V33" i="2"/>
  <c r="W33" i="2" s="1"/>
  <c r="N41" i="2" l="1"/>
  <c r="S41" i="2" s="1"/>
  <c r="Q41" i="2"/>
  <c r="T41" i="2"/>
  <c r="V28" i="2"/>
  <c r="W28" i="2" s="1"/>
  <c r="O34" i="1" l="1"/>
  <c r="U34" i="1" l="1"/>
  <c r="K34" i="1"/>
  <c r="P34" i="1" l="1"/>
  <c r="M36" i="2"/>
  <c r="J36" i="2"/>
  <c r="N36" i="2" l="1"/>
  <c r="V10" i="2"/>
  <c r="W10" i="2" s="1"/>
  <c r="Q36" i="2" l="1"/>
  <c r="T36" i="2"/>
  <c r="M31" i="2"/>
  <c r="J31" i="2"/>
  <c r="N31" i="2" l="1"/>
  <c r="O33" i="1"/>
  <c r="U33" i="1" l="1"/>
  <c r="Q31" i="2"/>
  <c r="T31" i="2"/>
  <c r="K33" i="1"/>
  <c r="P33" i="1" l="1"/>
  <c r="O32" i="1"/>
  <c r="K32" i="1"/>
  <c r="U32" i="1" l="1"/>
  <c r="P32" i="1"/>
  <c r="O31" i="1"/>
  <c r="U31" i="1" l="1"/>
  <c r="K31" i="1"/>
  <c r="P31" i="1" l="1"/>
  <c r="O30" i="1"/>
  <c r="K30" i="1"/>
  <c r="M26" i="2"/>
  <c r="J26" i="2"/>
  <c r="M19" i="2"/>
  <c r="U30" i="1" l="1"/>
  <c r="P30" i="1"/>
  <c r="N19" i="2"/>
  <c r="N26" i="2"/>
  <c r="O29" i="1"/>
  <c r="U29" i="1" l="1"/>
  <c r="T26" i="2"/>
  <c r="T19" i="2"/>
  <c r="Y19" i="2"/>
  <c r="K29" i="1"/>
  <c r="P29" i="1" l="1"/>
  <c r="V23" i="2"/>
  <c r="W23" i="2" s="1"/>
  <c r="Q26" i="2"/>
  <c r="V16" i="2"/>
  <c r="W16" i="2" s="1"/>
  <c r="V21" i="2"/>
  <c r="W21" i="2" s="1"/>
  <c r="O28" i="1" l="1"/>
  <c r="K28" i="1"/>
  <c r="P28" i="1" l="1"/>
  <c r="U28" i="1"/>
  <c r="O27" i="1"/>
  <c r="U27" i="1" l="1"/>
  <c r="K27" i="1"/>
  <c r="P27" i="1" l="1"/>
  <c r="Q2" i="8"/>
  <c r="M2" i="8"/>
  <c r="N21" i="2" l="1"/>
  <c r="N2" i="2" s="1"/>
  <c r="S21" i="2" l="1"/>
  <c r="Y21" i="2"/>
  <c r="Y26" i="2" s="1"/>
  <c r="Y31" i="2" s="1"/>
  <c r="Y36" i="2" s="1"/>
  <c r="Y41" i="2" s="1"/>
  <c r="Y46" i="2" s="1"/>
  <c r="Y51" i="2" s="1"/>
  <c r="Y56" i="2" s="1"/>
  <c r="Y61" i="2" s="1"/>
  <c r="Y66" i="2" s="1"/>
  <c r="Y71" i="2" s="1"/>
  <c r="Q21" i="2"/>
  <c r="O26" i="1"/>
  <c r="K26" i="1"/>
  <c r="P26" i="1" l="1"/>
  <c r="U26" i="1"/>
  <c r="O25" i="1"/>
  <c r="U25" i="1" l="1"/>
  <c r="K25" i="1"/>
  <c r="P25" i="1" l="1"/>
  <c r="O24" i="1"/>
  <c r="U24" i="1" l="1"/>
  <c r="K24" i="1"/>
  <c r="P24" i="1" l="1"/>
  <c r="O23" i="1"/>
  <c r="R23" i="1" l="1"/>
  <c r="K23" i="1"/>
  <c r="P23" i="1" l="1"/>
  <c r="U23" i="1"/>
  <c r="V23" i="1"/>
  <c r="H2" i="6"/>
  <c r="H1" i="6"/>
  <c r="G3" i="6"/>
  <c r="G4" i="6" s="1"/>
  <c r="H3" i="6" l="1"/>
  <c r="O22" i="1"/>
  <c r="R22" i="1" l="1"/>
  <c r="K22" i="1"/>
  <c r="P22" i="1" l="1"/>
  <c r="U22" i="1"/>
  <c r="V22" i="1"/>
  <c r="Q19" i="2"/>
  <c r="O21" i="1"/>
  <c r="O20" i="1"/>
  <c r="R20" i="1" l="1"/>
  <c r="R21" i="1"/>
  <c r="K21" i="1"/>
  <c r="K20" i="1"/>
  <c r="P21" i="1" l="1"/>
  <c r="U20" i="1"/>
  <c r="V20" i="1"/>
  <c r="U21" i="1"/>
  <c r="V21" i="1"/>
  <c r="P20" i="1"/>
  <c r="O19" i="1"/>
  <c r="Q14" i="2"/>
  <c r="R19" i="1" l="1"/>
  <c r="V14" i="2"/>
  <c r="W14" i="2" s="1"/>
  <c r="U19" i="1" l="1"/>
  <c r="V19" i="1"/>
  <c r="K19" i="1"/>
  <c r="M19" i="1" l="1"/>
  <c r="P19" i="1"/>
  <c r="O18" i="1"/>
  <c r="Q10" i="2"/>
  <c r="Q6" i="2"/>
  <c r="Q4" i="2"/>
  <c r="Q8" i="2"/>
  <c r="Q12" i="2"/>
  <c r="V12" i="2"/>
  <c r="W12" i="2" s="1"/>
  <c r="R18" i="1" l="1"/>
  <c r="U18" i="1" s="1"/>
  <c r="K18" i="1"/>
  <c r="P17" i="1"/>
  <c r="O17" i="1"/>
  <c r="V18" i="1" l="1"/>
  <c r="P18" i="1"/>
  <c r="R17" i="1"/>
  <c r="O16" i="1"/>
  <c r="O15" i="1"/>
  <c r="K16" i="1"/>
  <c r="R16" i="1" l="1"/>
  <c r="U17" i="1"/>
  <c r="V17" i="1"/>
  <c r="P16" i="1"/>
  <c r="P15" i="1"/>
  <c r="P11" i="1"/>
  <c r="R15" i="1"/>
  <c r="U15" i="1" l="1"/>
  <c r="V15" i="1"/>
  <c r="U16" i="1"/>
  <c r="V16" i="1"/>
  <c r="R14" i="1"/>
  <c r="U14" i="1" l="1"/>
  <c r="V14" i="1"/>
  <c r="P14" i="1"/>
  <c r="R14" i="2" l="1"/>
  <c r="T14" i="2" l="1"/>
  <c r="S14" i="2"/>
  <c r="V8" i="2"/>
  <c r="W8" i="2" s="1"/>
  <c r="V4" i="2"/>
  <c r="W4" i="2" s="1"/>
  <c r="V6" i="2"/>
  <c r="W6" i="2" s="1"/>
  <c r="R4" i="5" l="1"/>
  <c r="R2" i="5" s="1"/>
  <c r="C5" i="6" s="1"/>
  <c r="S8" i="4"/>
  <c r="R12" i="2"/>
  <c r="R10" i="2"/>
  <c r="R8" i="2"/>
  <c r="R6" i="2"/>
  <c r="R4" i="2"/>
  <c r="N2" i="5"/>
  <c r="B5" i="6" s="1"/>
  <c r="B3" i="6"/>
  <c r="O13" i="1"/>
  <c r="O12" i="1"/>
  <c r="O11" i="1"/>
  <c r="O10" i="1"/>
  <c r="O9" i="1"/>
  <c r="O8" i="1"/>
  <c r="O7" i="1"/>
  <c r="O6" i="1"/>
  <c r="O5" i="1"/>
  <c r="O4" i="1"/>
  <c r="O4" i="5"/>
  <c r="O2" i="1" l="1"/>
  <c r="Q2" i="1" s="1"/>
  <c r="R2" i="2"/>
  <c r="R9" i="1"/>
  <c r="S4" i="2"/>
  <c r="T4" i="2"/>
  <c r="R6" i="1"/>
  <c r="R5" i="1"/>
  <c r="T12" i="2"/>
  <c r="S12" i="2"/>
  <c r="R10" i="1"/>
  <c r="T6" i="2"/>
  <c r="S6" i="2"/>
  <c r="R7" i="1"/>
  <c r="R11" i="1"/>
  <c r="T8" i="2"/>
  <c r="S8" i="2"/>
  <c r="T4" i="1"/>
  <c r="R8" i="1"/>
  <c r="R12" i="1"/>
  <c r="R13" i="1"/>
  <c r="T10" i="2"/>
  <c r="S10" i="2"/>
  <c r="R4" i="1"/>
  <c r="K13" i="1"/>
  <c r="R2" i="1" l="1"/>
  <c r="B2" i="6"/>
  <c r="T2" i="2"/>
  <c r="V2" i="2" s="1"/>
  <c r="S2" i="2"/>
  <c r="P13" i="1"/>
  <c r="U7" i="1"/>
  <c r="V7" i="1"/>
  <c r="U10" i="1"/>
  <c r="V10" i="1"/>
  <c r="U5" i="1"/>
  <c r="V5" i="1"/>
  <c r="T5" i="1"/>
  <c r="V4" i="1"/>
  <c r="U4" i="1"/>
  <c r="U13" i="1"/>
  <c r="V13" i="1"/>
  <c r="U8" i="1"/>
  <c r="V8" i="1"/>
  <c r="C3" i="6"/>
  <c r="U11" i="1"/>
  <c r="V11" i="1"/>
  <c r="U6" i="1"/>
  <c r="V6" i="1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U12" i="1"/>
  <c r="V12" i="1"/>
  <c r="U9" i="1"/>
  <c r="V9" i="1"/>
  <c r="N4" i="4"/>
  <c r="K12" i="1"/>
  <c r="U2" i="2" l="1"/>
  <c r="T27" i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6" i="1" s="1"/>
  <c r="T67" i="1" s="1"/>
  <c r="T68" i="1" s="1"/>
  <c r="T69" i="1" s="1"/>
  <c r="T70" i="1" s="1"/>
  <c r="T71" i="1" s="1"/>
  <c r="T72" i="1" s="1"/>
  <c r="T73" i="1" s="1"/>
  <c r="T74" i="1" s="1"/>
  <c r="C2" i="6"/>
  <c r="P12" i="1"/>
  <c r="S4" i="4"/>
  <c r="AD6" i="4"/>
  <c r="AG6" i="4" s="1"/>
  <c r="AF4" i="4"/>
  <c r="W2" i="1" l="1"/>
  <c r="Y2" i="1" s="1"/>
  <c r="K6" i="4"/>
  <c r="K2" i="4" l="1"/>
  <c r="N6" i="4"/>
  <c r="P10" i="1"/>
  <c r="O2" i="4" l="1"/>
  <c r="S6" i="4"/>
  <c r="S2" i="4" s="1"/>
  <c r="N2" i="4"/>
  <c r="B4" i="6" s="1"/>
  <c r="B9" i="6" s="1"/>
  <c r="O4" i="4"/>
  <c r="I4" i="4"/>
  <c r="C4" i="6" l="1"/>
  <c r="I2" i="4"/>
  <c r="AD4" i="4"/>
  <c r="AG4" i="4" s="1"/>
  <c r="P9" i="1"/>
  <c r="P7" i="1" l="1"/>
  <c r="K8" i="1"/>
  <c r="P8" i="1" l="1"/>
  <c r="P6" i="1"/>
  <c r="K5" i="1" l="1"/>
  <c r="P5" i="1" l="1"/>
  <c r="K4" i="1"/>
  <c r="P4" i="1" l="1"/>
</calcChain>
</file>

<file path=xl/sharedStrings.xml><?xml version="1.0" encoding="utf-8"?>
<sst xmlns="http://schemas.openxmlformats.org/spreadsheetml/2006/main" count="789" uniqueCount="207">
  <si>
    <t xml:space="preserve">Symbol </t>
  </si>
  <si>
    <t>Date</t>
  </si>
  <si>
    <t>Sell Strike</t>
  </si>
  <si>
    <t>Buy Strike</t>
  </si>
  <si>
    <t>Net Credit</t>
  </si>
  <si>
    <t>Expiration Date</t>
  </si>
  <si>
    <t>Current Price</t>
  </si>
  <si>
    <t>Profit/Loss</t>
  </si>
  <si>
    <t>Student</t>
  </si>
  <si>
    <t>SPY</t>
  </si>
  <si>
    <t>Risk</t>
  </si>
  <si>
    <t>Trade #</t>
  </si>
  <si>
    <t>Notes</t>
  </si>
  <si>
    <t>Probability</t>
  </si>
  <si>
    <t>Expected Return</t>
  </si>
  <si>
    <t>Strike</t>
  </si>
  <si>
    <t>Net Debit</t>
  </si>
  <si>
    <t>Tracy</t>
  </si>
  <si>
    <t>Put/Call</t>
  </si>
  <si>
    <t>Put</t>
  </si>
  <si>
    <t>Call</t>
  </si>
  <si>
    <t>Joan</t>
  </si>
  <si>
    <t>Loren</t>
  </si>
  <si>
    <t>QQQ</t>
  </si>
  <si>
    <t>Bob</t>
  </si>
  <si>
    <t>Steve</t>
  </si>
  <si>
    <t>WMT</t>
  </si>
  <si>
    <t>P/C</t>
  </si>
  <si>
    <t>Vince</t>
  </si>
  <si>
    <t>NRZ</t>
  </si>
  <si>
    <t>FOV</t>
  </si>
  <si>
    <t>P</t>
  </si>
  <si>
    <t>Max Profit%</t>
  </si>
  <si>
    <t>CLF</t>
  </si>
  <si>
    <t>C</t>
  </si>
  <si>
    <t>Call Credit</t>
  </si>
  <si>
    <t>Stock Price</t>
  </si>
  <si>
    <t>Covered Call Trades</t>
  </si>
  <si>
    <t>Credit Spread Trades</t>
  </si>
  <si>
    <t>RRC</t>
  </si>
  <si>
    <t>Bob G.</t>
  </si>
  <si>
    <t>stock profit</t>
  </si>
  <si>
    <t>call ask</t>
  </si>
  <si>
    <t>JuanCarlos</t>
  </si>
  <si>
    <t>AAPL</t>
  </si>
  <si>
    <t>Short Put Trades</t>
  </si>
  <si>
    <t>Put Credit</t>
  </si>
  <si>
    <t>DVN</t>
  </si>
  <si>
    <t>.08 Dividend</t>
  </si>
  <si>
    <t>CC</t>
  </si>
  <si>
    <t>DIA</t>
  </si>
  <si>
    <t>Bryan</t>
  </si>
  <si>
    <t>FCX</t>
  </si>
  <si>
    <t>BA</t>
  </si>
  <si>
    <t>Current Stock Price</t>
  </si>
  <si>
    <t>Current P/L</t>
  </si>
  <si>
    <t>Amity</t>
  </si>
  <si>
    <t>BABA</t>
  </si>
  <si>
    <t>Long Call Trades</t>
  </si>
  <si>
    <t>Debit</t>
  </si>
  <si>
    <t>FOV 6.05</t>
  </si>
  <si>
    <t>P/L %</t>
  </si>
  <si>
    <t>P/L $</t>
  </si>
  <si>
    <t>Total Profit</t>
  </si>
  <si>
    <t>Credit Spreads</t>
  </si>
  <si>
    <t>Straddles</t>
  </si>
  <si>
    <t>Covered Calls</t>
  </si>
  <si>
    <t>Buy Call</t>
  </si>
  <si>
    <t>Total Dollars Per Contract</t>
  </si>
  <si>
    <t>Win %</t>
  </si>
  <si>
    <t>Win%</t>
  </si>
  <si>
    <t>Total Gain</t>
  </si>
  <si>
    <t>HZNP</t>
  </si>
  <si>
    <t>UNH</t>
  </si>
  <si>
    <t>KMI</t>
  </si>
  <si>
    <t>4/24 Earnings before the open</t>
  </si>
  <si>
    <t>QCOM</t>
  </si>
  <si>
    <t>FOV .11</t>
  </si>
  <si>
    <t>210, 190</t>
  </si>
  <si>
    <t>215, 185</t>
  </si>
  <si>
    <t>EA</t>
  </si>
  <si>
    <t>BOB</t>
  </si>
  <si>
    <t>% P/L</t>
  </si>
  <si>
    <t>Nail Biter!</t>
  </si>
  <si>
    <t>Closing Stock price</t>
  </si>
  <si>
    <t>Difference</t>
  </si>
  <si>
    <t>Exercise Value at Expiration</t>
  </si>
  <si>
    <t>BBY</t>
  </si>
  <si>
    <t>FOV 0.07  Another Nail Biter!</t>
  </si>
  <si>
    <t>FOV .20</t>
  </si>
  <si>
    <t>FOV .1572</t>
  </si>
  <si>
    <t>P/L</t>
  </si>
  <si>
    <t>Vincent</t>
  </si>
  <si>
    <t>FOV .1183</t>
  </si>
  <si>
    <t>FOV .1832</t>
  </si>
  <si>
    <t>FOV 0.1160</t>
  </si>
  <si>
    <t>GLD</t>
  </si>
  <si>
    <t>FOV .07</t>
  </si>
  <si>
    <t>Pat</t>
  </si>
  <si>
    <t>FOV .14</t>
  </si>
  <si>
    <t>Samuel</t>
  </si>
  <si>
    <t>HPQ</t>
  </si>
  <si>
    <t>Long Put Trades</t>
  </si>
  <si>
    <t>MSFT</t>
  </si>
  <si>
    <t>FOV.33</t>
  </si>
  <si>
    <t>FOV .1549</t>
  </si>
  <si>
    <t>KNOP</t>
  </si>
  <si>
    <t>FOV .0742</t>
  </si>
  <si>
    <t>TLT</t>
  </si>
  <si>
    <t>FOV .08</t>
  </si>
  <si>
    <t>FOV .1909</t>
  </si>
  <si>
    <t>IWM</t>
  </si>
  <si>
    <t>ENB</t>
  </si>
  <si>
    <t>AMD</t>
  </si>
  <si>
    <t>Samuel / Satyajit</t>
  </si>
  <si>
    <t>FOV .1056</t>
  </si>
  <si>
    <t xml:space="preserve">Samuel </t>
  </si>
  <si>
    <t>ABBV</t>
  </si>
  <si>
    <t>Jonathon</t>
  </si>
  <si>
    <t>STX</t>
  </si>
  <si>
    <t>Don T.</t>
  </si>
  <si>
    <t>INTC</t>
  </si>
  <si>
    <t>Average Profit</t>
  </si>
  <si>
    <t>Average Probability</t>
  </si>
  <si>
    <t>Average Profit%</t>
  </si>
  <si>
    <t>Average Risk</t>
  </si>
  <si>
    <t>C/P</t>
  </si>
  <si>
    <t>Average Net Debit</t>
  </si>
  <si>
    <t>Roll Cost</t>
  </si>
  <si>
    <t>Gains</t>
  </si>
  <si>
    <t>Losses</t>
  </si>
  <si>
    <t>Average Win</t>
  </si>
  <si>
    <t>Average Loss</t>
  </si>
  <si>
    <t>Running Total</t>
  </si>
  <si>
    <t>Average Stock Price</t>
  </si>
  <si>
    <t>Average Call Credit</t>
  </si>
  <si>
    <t>Days in Trade</t>
  </si>
  <si>
    <t>Average Days in Trade</t>
  </si>
  <si>
    <t>Average Days In Trade</t>
  </si>
  <si>
    <t>BHC</t>
  </si>
  <si>
    <t>Discount to Value</t>
  </si>
  <si>
    <t>Vic</t>
  </si>
  <si>
    <t>DOCU</t>
  </si>
  <si>
    <t>Straddle &amp; Strangle Trades</t>
  </si>
  <si>
    <t>RCII</t>
  </si>
  <si>
    <t>Percent Above Value</t>
  </si>
  <si>
    <t>BIG</t>
  </si>
  <si>
    <t>Advantage to Value</t>
  </si>
  <si>
    <t>Max Profit %</t>
  </si>
  <si>
    <t>Credit</t>
  </si>
  <si>
    <t>Stress Test FOV</t>
  </si>
  <si>
    <t>David</t>
  </si>
  <si>
    <t>FOV 0.0117</t>
  </si>
  <si>
    <t>Expectation</t>
  </si>
  <si>
    <t>FOV 0.0059</t>
  </si>
  <si>
    <t>BAC</t>
  </si>
  <si>
    <t>FOV 0</t>
  </si>
  <si>
    <t>FOV 0.02</t>
  </si>
  <si>
    <t>Diagonal</t>
  </si>
  <si>
    <t>Credit/Debit</t>
  </si>
  <si>
    <t>Expiration 2</t>
  </si>
  <si>
    <t>Expiration 1</t>
  </si>
  <si>
    <t>annuallized</t>
  </si>
  <si>
    <t>FOV 0.01</t>
  </si>
  <si>
    <t>Jing</t>
  </si>
  <si>
    <t>Average P/L</t>
  </si>
  <si>
    <t>FOV 0.0157</t>
  </si>
  <si>
    <t>Max Risk</t>
  </si>
  <si>
    <t>Paul</t>
  </si>
  <si>
    <t>Sam</t>
  </si>
  <si>
    <t>Max Profit% (variable)</t>
  </si>
  <si>
    <t>FOViv 0.64</t>
  </si>
  <si>
    <t>FOV 0.14 FOViv 0.99</t>
  </si>
  <si>
    <t>FOV 0.06 FOViv 0.71</t>
  </si>
  <si>
    <t>FOV 0.15 FOViv 0.91</t>
  </si>
  <si>
    <t>FOV 0.07 FOViv 0.75</t>
  </si>
  <si>
    <t>Breakeven 1</t>
  </si>
  <si>
    <t>Breakeven 2</t>
  </si>
  <si>
    <t>BE % Down</t>
  </si>
  <si>
    <t>BE % Up</t>
  </si>
  <si>
    <t>FOV 0.04 FOViv 0.63</t>
  </si>
  <si>
    <t>FOV .04 FOViv 0.46</t>
  </si>
  <si>
    <t>Discount</t>
  </si>
  <si>
    <t>Average Discount</t>
  </si>
  <si>
    <t>FOV 0.6 FOViv 0.83</t>
  </si>
  <si>
    <t>Cumulative Returns</t>
  </si>
  <si>
    <t>FOV 0.07 FOViv 0.67</t>
  </si>
  <si>
    <t>Class</t>
  </si>
  <si>
    <t>FOV iv0.51</t>
  </si>
  <si>
    <t>FOV 0.02 FOViv 0.39</t>
  </si>
  <si>
    <t>FOV 0.02 FOViv 0.27</t>
  </si>
  <si>
    <t>QTY</t>
  </si>
  <si>
    <t>Invested</t>
  </si>
  <si>
    <t>FOV 0.04 FOViv 0.53</t>
  </si>
  <si>
    <t>Total</t>
  </si>
  <si>
    <t>Win/Loss</t>
  </si>
  <si>
    <t>Gain</t>
  </si>
  <si>
    <t>Total P/L</t>
  </si>
  <si>
    <t>Win Rate</t>
  </si>
  <si>
    <t>FOV 0.07 FOViv 0.66</t>
  </si>
  <si>
    <t>Paul &amp; Sam</t>
  </si>
  <si>
    <t>FOV 0.04 FOViv 0.73</t>
  </si>
  <si>
    <t>Sam &amp; Don T.</t>
  </si>
  <si>
    <t xml:space="preserve">Paul </t>
  </si>
  <si>
    <t>FOV 0.06 FOViv 0.73</t>
  </si>
  <si>
    <t>FOV 0.13 FOViv 0.47</t>
  </si>
  <si>
    <t>Covid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</si>
</sst>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8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9C0006"/>
      <name val="Calibri"/>
      <family val="2"/>
      <scheme val="minor"/>
    </font>
    <font>
      <sz val="15"/>
      <color rgb="FF373A3C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7" fillId="4" borderId="0" applyNumberFormat="0" applyBorder="0" applyAlignment="0" applyProtection="0"/>
  </cellStyleXfs>
  <cellXfs count="62">
    <xf numFmtId="0" fontId="0" fillId="0" borderId="0" xfId="0"/>
    <xf numFmtId="0" fontId="3" fillId="0" borderId="0" xfId="0" applyFont="1"/>
    <xf numFmtId="10" fontId="3" fillId="0" borderId="0" xfId="1" applyNumberFormat="1" applyFont="1"/>
    <xf numFmtId="44" fontId="3" fillId="0" borderId="0" xfId="3" applyFont="1"/>
    <xf numFmtId="14" fontId="3" fillId="0" borderId="0" xfId="0" applyNumberFormat="1" applyFont="1"/>
    <xf numFmtId="0" fontId="4" fillId="2" borderId="0" xfId="2" applyFont="1"/>
    <xf numFmtId="14" fontId="4" fillId="2" borderId="0" xfId="2" applyNumberFormat="1" applyFont="1"/>
    <xf numFmtId="10" fontId="4" fillId="2" borderId="0" xfId="2" applyNumberFormat="1" applyFont="1"/>
    <xf numFmtId="0" fontId="4" fillId="2" borderId="0" xfId="2" applyFont="1" applyBorder="1" applyAlignment="1">
      <alignment horizontal="right"/>
    </xf>
    <xf numFmtId="0" fontId="4" fillId="2" borderId="0" xfId="2" applyFont="1" applyBorder="1" applyAlignment="1">
      <alignment horizontal="left"/>
    </xf>
    <xf numFmtId="14" fontId="4" fillId="2" borderId="0" xfId="2" applyNumberFormat="1" applyFont="1" applyBorder="1" applyAlignment="1">
      <alignment horizontal="right"/>
    </xf>
    <xf numFmtId="10" fontId="4" fillId="2" borderId="0" xfId="2" applyNumberFormat="1" applyFont="1" applyBorder="1" applyAlignment="1">
      <alignment horizontal="right"/>
    </xf>
    <xf numFmtId="0" fontId="4" fillId="2" borderId="0" xfId="2" applyNumberFormat="1" applyFont="1" applyBorder="1" applyAlignment="1">
      <alignment horizontal="right"/>
    </xf>
    <xf numFmtId="0" fontId="6" fillId="3" borderId="0" xfId="4" applyFont="1"/>
    <xf numFmtId="10" fontId="6" fillId="3" borderId="0" xfId="4" applyNumberFormat="1" applyFont="1"/>
    <xf numFmtId="0" fontId="6" fillId="3" borderId="0" xfId="4" applyFont="1" applyBorder="1" applyAlignment="1">
      <alignment horizontal="left"/>
    </xf>
    <xf numFmtId="10" fontId="6" fillId="3" borderId="0" xfId="4" applyNumberFormat="1" applyFont="1" applyBorder="1" applyAlignment="1">
      <alignment horizontal="left"/>
    </xf>
    <xf numFmtId="44" fontId="6" fillId="3" borderId="0" xfId="4" applyNumberFormat="1" applyFont="1" applyBorder="1" applyAlignment="1">
      <alignment horizontal="right"/>
    </xf>
    <xf numFmtId="0" fontId="8" fillId="0" borderId="0" xfId="0" applyFont="1"/>
    <xf numFmtId="14" fontId="8" fillId="0" borderId="0" xfId="0" applyNumberFormat="1" applyFont="1"/>
    <xf numFmtId="10" fontId="8" fillId="0" borderId="0" xfId="0" applyNumberFormat="1" applyFont="1"/>
    <xf numFmtId="0" fontId="9" fillId="4" borderId="0" xfId="5" applyFont="1"/>
    <xf numFmtId="14" fontId="9" fillId="4" borderId="0" xfId="5" applyNumberFormat="1" applyFont="1"/>
    <xf numFmtId="6" fontId="9" fillId="4" borderId="0" xfId="5" applyNumberFormat="1" applyFont="1"/>
    <xf numFmtId="10" fontId="9" fillId="4" borderId="0" xfId="5" applyNumberFormat="1" applyFont="1"/>
    <xf numFmtId="164" fontId="3" fillId="0" borderId="0" xfId="0" applyNumberFormat="1" applyFont="1"/>
    <xf numFmtId="164" fontId="9" fillId="4" borderId="0" xfId="5" applyNumberFormat="1" applyFont="1"/>
    <xf numFmtId="2" fontId="9" fillId="4" borderId="0" xfId="5" applyNumberFormat="1" applyFont="1"/>
    <xf numFmtId="44" fontId="9" fillId="4" borderId="0" xfId="5" applyNumberFormat="1" applyFont="1"/>
    <xf numFmtId="2" fontId="4" fillId="2" borderId="0" xfId="2" applyNumberFormat="1" applyFont="1"/>
    <xf numFmtId="44" fontId="4" fillId="2" borderId="0" xfId="2" applyNumberFormat="1" applyFont="1"/>
    <xf numFmtId="164" fontId="4" fillId="2" borderId="0" xfId="2" applyNumberFormat="1" applyFont="1"/>
    <xf numFmtId="44" fontId="3" fillId="0" borderId="0" xfId="0" applyNumberFormat="1" applyFont="1"/>
    <xf numFmtId="9" fontId="3" fillId="0" borderId="0" xfId="1" applyFont="1"/>
    <xf numFmtId="9" fontId="3" fillId="0" borderId="0" xfId="0" applyNumberFormat="1" applyFont="1"/>
    <xf numFmtId="2" fontId="8" fillId="0" borderId="0" xfId="0" applyNumberFormat="1" applyFont="1"/>
    <xf numFmtId="9" fontId="9" fillId="4" borderId="0" xfId="5" applyNumberFormat="1" applyFont="1"/>
    <xf numFmtId="10" fontId="3" fillId="0" borderId="0" xfId="0" applyNumberFormat="1" applyFont="1"/>
    <xf numFmtId="10" fontId="4" fillId="2" borderId="0" xfId="1" applyNumberFormat="1" applyFont="1" applyFill="1"/>
    <xf numFmtId="10" fontId="9" fillId="4" borderId="0" xfId="1" applyNumberFormat="1" applyFont="1" applyFill="1"/>
    <xf numFmtId="3" fontId="4" fillId="2" borderId="0" xfId="2" applyNumberFormat="1" applyFont="1"/>
    <xf numFmtId="0" fontId="4" fillId="2" borderId="0" xfId="2" applyNumberFormat="1" applyFont="1"/>
    <xf numFmtId="44" fontId="3" fillId="0" borderId="0" xfId="3" applyFont="1" applyAlignment="1">
      <alignment horizontal="left"/>
    </xf>
    <xf numFmtId="2" fontId="3" fillId="0" borderId="0" xfId="0" applyNumberFormat="1" applyFont="1"/>
    <xf numFmtId="9" fontId="4" fillId="2" borderId="0" xfId="1" applyFont="1" applyFill="1"/>
    <xf numFmtId="10" fontId="3" fillId="0" borderId="0" xfId="3" applyNumberFormat="1" applyFont="1"/>
    <xf numFmtId="0" fontId="3" fillId="0" borderId="0" xfId="1" applyNumberFormat="1" applyFont="1"/>
    <xf numFmtId="1" fontId="3" fillId="0" borderId="0" xfId="1" applyNumberFormat="1" applyFont="1"/>
    <xf numFmtId="0" fontId="9" fillId="4" borderId="0" xfId="5" applyNumberFormat="1" applyFont="1"/>
    <xf numFmtId="1" fontId="3" fillId="0" borderId="0" xfId="3" applyNumberFormat="1" applyFont="1"/>
    <xf numFmtId="44" fontId="3" fillId="0" borderId="0" xfId="1" applyNumberFormat="1" applyFont="1"/>
    <xf numFmtId="1" fontId="3" fillId="0" borderId="0" xfId="0" applyNumberFormat="1" applyFont="1"/>
    <xf numFmtId="0" fontId="10" fillId="0" borderId="0" xfId="0" applyFont="1"/>
    <xf numFmtId="10" fontId="10" fillId="0" borderId="0" xfId="0" applyNumberFormat="1" applyFont="1"/>
    <xf numFmtId="44" fontId="6" fillId="3" borderId="0" xfId="3" applyFont="1" applyFill="1"/>
    <xf numFmtId="0" fontId="3" fillId="0" borderId="0" xfId="3" applyNumberFormat="1" applyFont="1"/>
    <xf numFmtId="0" fontId="3" fillId="0" borderId="0" xfId="0" applyNumberFormat="1" applyFont="1"/>
    <xf numFmtId="165" fontId="9" fillId="4" borderId="0" xfId="1" applyNumberFormat="1" applyFont="1" applyFill="1"/>
    <xf numFmtId="165" fontId="3" fillId="0" borderId="0" xfId="0" applyNumberFormat="1" applyFont="1"/>
    <xf numFmtId="44" fontId="4" fillId="2" borderId="0" xfId="3" applyFont="1" applyFill="1"/>
    <xf numFmtId="44" fontId="9" fillId="4" borderId="0" xfId="3" applyFont="1" applyFill="1"/>
    <xf numFmtId="44" fontId="0" fillId="0" borderId="0" xfId="3" applyFont="1"/>
  </cellXfs>
  <cellStyles count="6">
    <cellStyle name="Bad" xfId="5" builtinId="27"/>
    <cellStyle name="Currency" xfId="3" builtinId="4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4CE7-731B-9242-BDAB-2381DFE21273}">
  <dimension ref="A1:Q30"/>
  <sheetViews>
    <sheetView zoomScale="150" zoomScaleNormal="150" workbookViewId="0">
      <selection activeCell="A3" sqref="A3:XFD3"/>
    </sheetView>
  </sheetViews>
  <sheetFormatPr baseColWidth="10" defaultRowHeight="24" x14ac:dyDescent="0.3"/>
  <cols>
    <col min="1" max="1" width="10.33203125" style="1" customWidth="1"/>
    <col min="2" max="2" width="18" style="1" bestFit="1" customWidth="1"/>
    <col min="3" max="3" width="11.33203125" style="1" customWidth="1"/>
    <col min="4" max="4" width="17.5" style="1" bestFit="1" customWidth="1"/>
    <col min="5" max="5" width="12.83203125" style="1" bestFit="1" customWidth="1"/>
    <col min="6" max="6" width="20.33203125" style="1" bestFit="1" customWidth="1"/>
    <col min="7" max="7" width="11.1640625" style="1" bestFit="1" customWidth="1"/>
    <col min="8" max="8" width="14.6640625" style="1" bestFit="1" customWidth="1"/>
    <col min="9" max="9" width="15.83203125" style="1" bestFit="1" customWidth="1"/>
    <col min="10" max="10" width="14" style="1" bestFit="1" customWidth="1"/>
    <col min="11" max="11" width="14.33203125" style="1" bestFit="1" customWidth="1"/>
    <col min="12" max="12" width="16.6640625" style="1" bestFit="1" customWidth="1"/>
    <col min="13" max="13" width="21.83203125" style="1" customWidth="1"/>
    <col min="14" max="14" width="28.6640625" style="1" bestFit="1" customWidth="1"/>
    <col min="15" max="15" width="17.5" style="1" bestFit="1" customWidth="1"/>
    <col min="16" max="16" width="27" style="1" customWidth="1"/>
    <col min="17" max="17" width="19.6640625" style="1" bestFit="1" customWidth="1"/>
    <col min="18" max="16384" width="10.83203125" style="1"/>
  </cols>
  <sheetData>
    <row r="1" spans="1:17" s="13" customFormat="1" x14ac:dyDescent="0.3">
      <c r="A1" s="13" t="s">
        <v>38</v>
      </c>
    </row>
    <row r="2" spans="1:17" s="13" customFormat="1" x14ac:dyDescent="0.3">
      <c r="A2" s="13" t="s">
        <v>11</v>
      </c>
      <c r="B2" s="13" t="s">
        <v>8</v>
      </c>
      <c r="C2" s="13" t="s">
        <v>0</v>
      </c>
      <c r="D2" s="13" t="s">
        <v>6</v>
      </c>
      <c r="E2" s="13" t="s">
        <v>1</v>
      </c>
      <c r="F2" s="13" t="s">
        <v>5</v>
      </c>
      <c r="G2" s="13" t="s">
        <v>18</v>
      </c>
      <c r="H2" s="13" t="s">
        <v>2</v>
      </c>
      <c r="I2" s="13" t="s">
        <v>3</v>
      </c>
      <c r="J2" s="13" t="s">
        <v>4</v>
      </c>
      <c r="K2" s="13" t="s">
        <v>10</v>
      </c>
      <c r="L2" s="14" t="s">
        <v>13</v>
      </c>
      <c r="M2" s="13" t="s">
        <v>14</v>
      </c>
      <c r="N2" s="13" t="s">
        <v>32</v>
      </c>
      <c r="O2" s="13" t="s">
        <v>30</v>
      </c>
      <c r="P2" s="13" t="s">
        <v>145</v>
      </c>
      <c r="Q2" s="13" t="s">
        <v>150</v>
      </c>
    </row>
    <row r="3" spans="1:17" x14ac:dyDescent="0.3">
      <c r="E3" s="4"/>
      <c r="F3" s="4"/>
      <c r="K3" s="52"/>
      <c r="L3" s="2"/>
      <c r="M3" s="52"/>
      <c r="N3" s="53"/>
      <c r="P3" s="33"/>
    </row>
    <row r="4" spans="1:17" x14ac:dyDescent="0.3">
      <c r="E4" s="4"/>
      <c r="F4" s="4"/>
      <c r="K4" s="52"/>
      <c r="L4" s="2"/>
      <c r="M4" s="52"/>
      <c r="N4" s="53"/>
    </row>
    <row r="5" spans="1:17" x14ac:dyDescent="0.3">
      <c r="E5" s="4"/>
      <c r="F5" s="4"/>
      <c r="K5" s="52"/>
      <c r="L5" s="2"/>
      <c r="M5" s="52"/>
      <c r="N5" s="53"/>
      <c r="P5" s="33"/>
    </row>
    <row r="7" spans="1:17" x14ac:dyDescent="0.3">
      <c r="E7" s="4"/>
      <c r="F7" s="4"/>
      <c r="K7" s="52"/>
      <c r="L7" s="2"/>
      <c r="M7" s="52"/>
      <c r="N7" s="53"/>
      <c r="P7" s="33"/>
    </row>
    <row r="8" spans="1:17" x14ac:dyDescent="0.3">
      <c r="E8" s="4"/>
      <c r="F8" s="4"/>
      <c r="K8" s="52"/>
      <c r="L8" s="2"/>
      <c r="M8" s="52"/>
      <c r="N8" s="53"/>
    </row>
    <row r="9" spans="1:17" x14ac:dyDescent="0.3">
      <c r="E9" s="4"/>
      <c r="F9" s="4"/>
      <c r="K9" s="52"/>
      <c r="L9" s="2"/>
      <c r="M9" s="52"/>
      <c r="N9" s="53"/>
      <c r="P9" s="33"/>
    </row>
    <row r="10" spans="1:17" x14ac:dyDescent="0.3">
      <c r="E10" s="4"/>
      <c r="F10" s="4"/>
      <c r="K10" s="52"/>
      <c r="L10" s="2"/>
      <c r="M10" s="52"/>
      <c r="N10" s="53"/>
    </row>
    <row r="11" spans="1:17" s="13" customFormat="1" x14ac:dyDescent="0.3">
      <c r="A11" s="13" t="s">
        <v>143</v>
      </c>
      <c r="D11" s="17"/>
      <c r="F11" s="15"/>
      <c r="G11" s="15"/>
      <c r="H11" s="15"/>
      <c r="I11" s="15"/>
      <c r="J11" s="15"/>
      <c r="K11" s="15"/>
      <c r="L11" s="16"/>
      <c r="M11" s="15"/>
      <c r="N11" s="15"/>
      <c r="O11" s="15"/>
    </row>
    <row r="12" spans="1:17" s="13" customFormat="1" x14ac:dyDescent="0.3">
      <c r="A12" s="13" t="s">
        <v>11</v>
      </c>
      <c r="B12" s="13" t="s">
        <v>8</v>
      </c>
      <c r="C12" s="13" t="s">
        <v>0</v>
      </c>
      <c r="D12" s="13" t="s">
        <v>6</v>
      </c>
      <c r="E12" s="13" t="s">
        <v>1</v>
      </c>
      <c r="F12" s="13" t="s">
        <v>5</v>
      </c>
      <c r="G12" s="13" t="s">
        <v>18</v>
      </c>
      <c r="H12" s="13" t="s">
        <v>3</v>
      </c>
      <c r="I12" s="13" t="s">
        <v>16</v>
      </c>
      <c r="J12" s="13" t="s">
        <v>10</v>
      </c>
      <c r="K12" s="14" t="s">
        <v>13</v>
      </c>
      <c r="L12" s="13" t="s">
        <v>176</v>
      </c>
      <c r="M12" s="13" t="s">
        <v>177</v>
      </c>
      <c r="N12" s="13" t="s">
        <v>178</v>
      </c>
      <c r="O12" s="13" t="s">
        <v>179</v>
      </c>
      <c r="P12" s="13" t="s">
        <v>30</v>
      </c>
      <c r="Q12" s="13" t="s">
        <v>140</v>
      </c>
    </row>
    <row r="13" spans="1:17" x14ac:dyDescent="0.3">
      <c r="E13" s="4"/>
      <c r="F13" s="4"/>
      <c r="H13" s="55"/>
      <c r="I13" s="55"/>
      <c r="J13" s="55"/>
      <c r="K13" s="2"/>
      <c r="L13" s="46"/>
      <c r="M13" s="56"/>
      <c r="N13" s="2"/>
      <c r="O13" s="2"/>
      <c r="P13" s="55"/>
      <c r="Q13" s="2"/>
    </row>
    <row r="14" spans="1:17" x14ac:dyDescent="0.3">
      <c r="E14" s="4"/>
      <c r="F14" s="4"/>
      <c r="H14" s="55"/>
      <c r="I14" s="55"/>
      <c r="J14" s="55"/>
      <c r="K14" s="3"/>
      <c r="L14" s="46"/>
      <c r="M14" s="56"/>
      <c r="N14" s="56"/>
      <c r="P14" s="3"/>
      <c r="Q14" s="2"/>
    </row>
    <row r="15" spans="1:17" x14ac:dyDescent="0.3">
      <c r="E15" s="4"/>
      <c r="F15" s="4"/>
      <c r="H15" s="55"/>
      <c r="I15" s="55"/>
      <c r="J15" s="55"/>
      <c r="K15" s="2"/>
      <c r="L15" s="46"/>
      <c r="M15" s="56"/>
      <c r="N15" s="2"/>
      <c r="O15" s="2"/>
      <c r="P15" s="55"/>
      <c r="Q15" s="2"/>
    </row>
    <row r="16" spans="1:17" s="13" customFormat="1" x14ac:dyDescent="0.3">
      <c r="A16" s="13" t="s">
        <v>37</v>
      </c>
    </row>
    <row r="17" spans="1:16" s="13" customFormat="1" x14ac:dyDescent="0.3">
      <c r="A17" s="13" t="s">
        <v>11</v>
      </c>
      <c r="B17" s="13" t="s">
        <v>8</v>
      </c>
      <c r="C17" s="13" t="s">
        <v>0</v>
      </c>
      <c r="D17" s="13" t="s">
        <v>6</v>
      </c>
      <c r="E17" s="13" t="s">
        <v>1</v>
      </c>
      <c r="F17" s="13" t="s">
        <v>5</v>
      </c>
      <c r="G17" s="13" t="s">
        <v>20</v>
      </c>
      <c r="H17" s="13" t="s">
        <v>2</v>
      </c>
      <c r="I17" s="13" t="s">
        <v>36</v>
      </c>
      <c r="J17" s="13" t="s">
        <v>35</v>
      </c>
      <c r="K17" s="13" t="s">
        <v>10</v>
      </c>
      <c r="L17" s="14" t="s">
        <v>13</v>
      </c>
      <c r="M17" s="13" t="s">
        <v>14</v>
      </c>
      <c r="N17" s="13" t="s">
        <v>32</v>
      </c>
      <c r="O17" s="13" t="s">
        <v>12</v>
      </c>
    </row>
    <row r="18" spans="1:16" x14ac:dyDescent="0.3">
      <c r="E18" s="19"/>
      <c r="F18" s="19"/>
      <c r="G18" s="18"/>
      <c r="H18" s="18"/>
      <c r="I18" s="18"/>
      <c r="J18" s="18"/>
      <c r="K18" s="35"/>
      <c r="L18" s="20"/>
      <c r="M18" s="18"/>
      <c r="N18" s="20"/>
      <c r="O18" s="18"/>
    </row>
    <row r="19" spans="1:16" s="13" customFormat="1" x14ac:dyDescent="0.3">
      <c r="A19" s="13" t="s">
        <v>45</v>
      </c>
    </row>
    <row r="20" spans="1:16" s="13" customFormat="1" x14ac:dyDescent="0.3">
      <c r="A20" s="13" t="s">
        <v>11</v>
      </c>
      <c r="B20" s="13" t="s">
        <v>8</v>
      </c>
      <c r="C20" s="13" t="s">
        <v>0</v>
      </c>
      <c r="E20" s="13" t="s">
        <v>1</v>
      </c>
      <c r="F20" s="13" t="s">
        <v>5</v>
      </c>
      <c r="G20" s="13" t="s">
        <v>19</v>
      </c>
      <c r="H20" s="13" t="s">
        <v>2</v>
      </c>
      <c r="I20" s="13" t="s">
        <v>36</v>
      </c>
      <c r="J20" s="13" t="s">
        <v>46</v>
      </c>
      <c r="K20" s="13" t="s">
        <v>10</v>
      </c>
      <c r="L20" s="14" t="s">
        <v>13</v>
      </c>
      <c r="M20" s="13" t="s">
        <v>14</v>
      </c>
      <c r="N20" s="13" t="s">
        <v>32</v>
      </c>
      <c r="O20" s="13" t="s">
        <v>30</v>
      </c>
      <c r="P20" s="13" t="s">
        <v>147</v>
      </c>
    </row>
    <row r="21" spans="1:16" x14ac:dyDescent="0.3">
      <c r="E21" s="4"/>
      <c r="F21" s="4"/>
      <c r="L21" s="2"/>
      <c r="N21" s="2"/>
      <c r="P21" s="2"/>
    </row>
    <row r="22" spans="1:16" s="13" customFormat="1" x14ac:dyDescent="0.3">
      <c r="A22" s="13" t="s">
        <v>58</v>
      </c>
    </row>
    <row r="23" spans="1:16" s="13" customFormat="1" x14ac:dyDescent="0.3">
      <c r="A23" s="13" t="s">
        <v>11</v>
      </c>
      <c r="B23" s="13" t="s">
        <v>8</v>
      </c>
      <c r="C23" s="13" t="s">
        <v>0</v>
      </c>
      <c r="D23" s="13" t="s">
        <v>6</v>
      </c>
      <c r="E23" s="13" t="s">
        <v>1</v>
      </c>
      <c r="F23" s="13" t="s">
        <v>5</v>
      </c>
      <c r="G23" s="13" t="s">
        <v>20</v>
      </c>
      <c r="H23" s="13" t="s">
        <v>3</v>
      </c>
      <c r="I23" s="13" t="s">
        <v>36</v>
      </c>
      <c r="J23" s="13" t="s">
        <v>59</v>
      </c>
      <c r="K23" s="13" t="s">
        <v>10</v>
      </c>
      <c r="L23" s="14" t="s">
        <v>13</v>
      </c>
      <c r="M23" s="13" t="s">
        <v>14</v>
      </c>
      <c r="N23" s="13" t="s">
        <v>32</v>
      </c>
      <c r="O23" s="13" t="s">
        <v>12</v>
      </c>
    </row>
    <row r="24" spans="1:16" x14ac:dyDescent="0.3">
      <c r="C24" s="18"/>
      <c r="E24" s="4"/>
      <c r="F24" s="4"/>
      <c r="L24" s="2"/>
    </row>
    <row r="25" spans="1:16" s="13" customFormat="1" x14ac:dyDescent="0.3">
      <c r="A25" s="13" t="s">
        <v>102</v>
      </c>
    </row>
    <row r="26" spans="1:16" s="13" customFormat="1" x14ac:dyDescent="0.3">
      <c r="A26" s="13" t="s">
        <v>11</v>
      </c>
      <c r="B26" s="13" t="s">
        <v>8</v>
      </c>
      <c r="C26" s="13" t="s">
        <v>0</v>
      </c>
      <c r="D26" s="13" t="s">
        <v>6</v>
      </c>
      <c r="E26" s="13" t="s">
        <v>1</v>
      </c>
      <c r="F26" s="13" t="s">
        <v>5</v>
      </c>
      <c r="G26" s="13" t="s">
        <v>19</v>
      </c>
      <c r="H26" s="13" t="s">
        <v>3</v>
      </c>
      <c r="I26" s="13" t="s">
        <v>36</v>
      </c>
      <c r="J26" s="13" t="s">
        <v>59</v>
      </c>
      <c r="K26" s="13" t="s">
        <v>10</v>
      </c>
      <c r="L26" s="14" t="s">
        <v>13</v>
      </c>
      <c r="M26" s="13" t="s">
        <v>14</v>
      </c>
      <c r="N26" s="13" t="s">
        <v>32</v>
      </c>
      <c r="O26" s="13" t="s">
        <v>12</v>
      </c>
    </row>
    <row r="27" spans="1:16" x14ac:dyDescent="0.3">
      <c r="E27" s="19"/>
      <c r="F27" s="19"/>
      <c r="G27" s="18"/>
    </row>
    <row r="28" spans="1:16" s="13" customFormat="1" x14ac:dyDescent="0.3">
      <c r="A28" s="13" t="s">
        <v>158</v>
      </c>
    </row>
    <row r="29" spans="1:16" s="13" customFormat="1" x14ac:dyDescent="0.3">
      <c r="A29" s="13" t="s">
        <v>11</v>
      </c>
      <c r="B29" s="13" t="s">
        <v>8</v>
      </c>
      <c r="C29" s="13" t="s">
        <v>0</v>
      </c>
      <c r="D29" s="14" t="s">
        <v>6</v>
      </c>
      <c r="E29" s="13" t="s">
        <v>1</v>
      </c>
      <c r="F29" s="13" t="s">
        <v>161</v>
      </c>
      <c r="G29" s="13" t="s">
        <v>18</v>
      </c>
      <c r="H29" s="13" t="s">
        <v>2</v>
      </c>
      <c r="I29" s="13" t="s">
        <v>160</v>
      </c>
      <c r="J29" s="13" t="s">
        <v>18</v>
      </c>
      <c r="K29" s="13" t="s">
        <v>3</v>
      </c>
      <c r="L29" s="13" t="s">
        <v>159</v>
      </c>
      <c r="M29" s="13" t="s">
        <v>10</v>
      </c>
      <c r="N29" s="13" t="s">
        <v>170</v>
      </c>
      <c r="O29" s="13" t="s">
        <v>12</v>
      </c>
    </row>
    <row r="30" spans="1:16" x14ac:dyDescent="0.3">
      <c r="F30" s="4"/>
      <c r="I30" s="4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1C90-5CD6-594F-95D3-066AEBA4A8DC}">
  <dimension ref="A1:Y76"/>
  <sheetViews>
    <sheetView zoomScale="110" zoomScaleNormal="110" workbookViewId="0">
      <pane ySplit="3" topLeftCell="A59" activePane="bottomLeft" state="frozen"/>
      <selection pane="bottomLeft" activeCell="E82" sqref="E82"/>
    </sheetView>
  </sheetViews>
  <sheetFormatPr baseColWidth="10" defaultRowHeight="24" x14ac:dyDescent="0.3"/>
  <cols>
    <col min="1" max="1" width="11" style="1" bestFit="1" customWidth="1"/>
    <col min="2" max="2" width="18.6640625" style="1" bestFit="1" customWidth="1"/>
    <col min="3" max="3" width="11.33203125" style="1" bestFit="1" customWidth="1"/>
    <col min="4" max="4" width="12.83203125" style="1" bestFit="1" customWidth="1"/>
    <col min="5" max="5" width="21.1640625" style="1" customWidth="1"/>
    <col min="6" max="6" width="29.83203125" style="1" customWidth="1"/>
    <col min="7" max="7" width="11.5" style="1" customWidth="1"/>
    <col min="8" max="8" width="13.6640625" style="1" customWidth="1"/>
    <col min="9" max="9" width="14" style="1" customWidth="1"/>
    <col min="10" max="10" width="14.33203125" style="1" customWidth="1"/>
    <col min="11" max="11" width="17.5" style="1" customWidth="1"/>
    <col min="12" max="12" width="26.33203125" style="2" customWidth="1"/>
    <col min="13" max="13" width="22.5" style="1" customWidth="1"/>
    <col min="14" max="14" width="19.33203125" style="1" customWidth="1"/>
    <col min="15" max="15" width="18.1640625" style="1" bestFit="1" customWidth="1"/>
    <col min="16" max="16" width="21.5" style="1" bestFit="1" customWidth="1"/>
    <col min="17" max="17" width="40.83203125" style="1" bestFit="1" customWidth="1"/>
    <col min="18" max="18" width="10.5" style="1" bestFit="1" customWidth="1"/>
    <col min="19" max="19" width="10.83203125" style="1"/>
    <col min="20" max="20" width="19.33203125" style="1" bestFit="1" customWidth="1"/>
    <col min="21" max="22" width="17.6640625" style="1" bestFit="1" customWidth="1"/>
    <col min="23" max="23" width="16.33203125" style="1" bestFit="1" customWidth="1"/>
    <col min="24" max="24" width="10.83203125" style="1"/>
    <col min="25" max="25" width="15.33203125" style="1" bestFit="1" customWidth="1"/>
    <col min="26" max="16384" width="10.83203125" style="1"/>
  </cols>
  <sheetData>
    <row r="1" spans="1:25" customFormat="1" x14ac:dyDescent="0.3">
      <c r="E1" s="1"/>
      <c r="F1" s="1" t="s">
        <v>137</v>
      </c>
      <c r="J1" s="1" t="s">
        <v>167</v>
      </c>
      <c r="K1" s="1" t="s">
        <v>125</v>
      </c>
      <c r="L1" s="1" t="s">
        <v>123</v>
      </c>
      <c r="M1" s="1"/>
      <c r="N1" s="1" t="s">
        <v>165</v>
      </c>
      <c r="O1" s="1" t="s">
        <v>63</v>
      </c>
      <c r="P1" s="1" t="s">
        <v>124</v>
      </c>
      <c r="Q1" s="1" t="s">
        <v>185</v>
      </c>
      <c r="R1" s="1" t="s">
        <v>70</v>
      </c>
      <c r="T1" s="1" t="s">
        <v>133</v>
      </c>
      <c r="U1" s="1" t="s">
        <v>131</v>
      </c>
      <c r="V1" s="1" t="s">
        <v>132</v>
      </c>
      <c r="W1" s="1" t="s">
        <v>153</v>
      </c>
      <c r="Y1" s="1" t="s">
        <v>162</v>
      </c>
    </row>
    <row r="2" spans="1:25" x14ac:dyDescent="0.3">
      <c r="F2" s="49">
        <f>AVERAGE(F4:F76)</f>
        <v>8.4657534246575334</v>
      </c>
      <c r="J2" s="3">
        <f>MAX(K4:K76)*100</f>
        <v>484.99999999999994</v>
      </c>
      <c r="K2" s="3">
        <f>AVERAGE(K4:K76)*100</f>
        <v>289.69863013698637</v>
      </c>
      <c r="L2" s="37">
        <f>AVERAGE(L4:L76)</f>
        <v>0.93316438356164355</v>
      </c>
      <c r="N2" s="3">
        <f>AVERAGE(O4:O76)*100</f>
        <v>19.89041095890412</v>
      </c>
      <c r="O2" s="3">
        <f>SUM(O4:O1048576)*100</f>
        <v>1452.0000000000007</v>
      </c>
      <c r="P2" s="45">
        <f>AVERAGE(P4:P76)</f>
        <v>6.0371211552149813E-2</v>
      </c>
      <c r="Q2" s="33">
        <f>(O2-J2)/J2</f>
        <v>1.9938144329896923</v>
      </c>
      <c r="R2" s="2">
        <f>AVERAGE(R4:R1048576)</f>
        <v>0.9452054794520548</v>
      </c>
      <c r="U2" s="3">
        <f>AVERAGE(U4:U76)*100</f>
        <v>37.695652173913039</v>
      </c>
      <c r="V2" s="3">
        <f>AVERAGE(V4:V76)*100</f>
        <v>-287.25</v>
      </c>
      <c r="W2" s="32">
        <f>(U2*L2)+(V2*(1-R2))</f>
        <v>19.436513996426427</v>
      </c>
      <c r="Y2" s="2">
        <f>((365/F2)*W2)/ABS(V2)</f>
        <v>2.917330198116737</v>
      </c>
    </row>
    <row r="3" spans="1:25" s="13" customFormat="1" x14ac:dyDescent="0.3">
      <c r="A3" s="13" t="s">
        <v>11</v>
      </c>
      <c r="B3" s="13" t="s">
        <v>8</v>
      </c>
      <c r="C3" s="13" t="s">
        <v>0</v>
      </c>
      <c r="D3" s="13" t="s">
        <v>1</v>
      </c>
      <c r="E3" s="13" t="s">
        <v>5</v>
      </c>
      <c r="F3" s="13" t="s">
        <v>136</v>
      </c>
      <c r="G3" s="13" t="s">
        <v>18</v>
      </c>
      <c r="H3" s="13" t="s">
        <v>2</v>
      </c>
      <c r="I3" s="13" t="s">
        <v>3</v>
      </c>
      <c r="J3" s="13" t="s">
        <v>4</v>
      </c>
      <c r="K3" s="13" t="s">
        <v>10</v>
      </c>
      <c r="L3" s="14" t="s">
        <v>13</v>
      </c>
      <c r="M3" s="13" t="s">
        <v>14</v>
      </c>
      <c r="N3" s="13" t="s">
        <v>6</v>
      </c>
      <c r="O3" s="13" t="s">
        <v>62</v>
      </c>
      <c r="P3" s="13" t="s">
        <v>61</v>
      </c>
      <c r="Q3" s="13" t="s">
        <v>12</v>
      </c>
      <c r="Y3" s="54"/>
    </row>
    <row r="4" spans="1:25" s="5" customFormat="1" x14ac:dyDescent="0.3">
      <c r="A4" s="5">
        <v>1</v>
      </c>
      <c r="B4" s="5" t="s">
        <v>17</v>
      </c>
      <c r="C4" s="5" t="s">
        <v>9</v>
      </c>
      <c r="D4" s="6">
        <v>43433</v>
      </c>
      <c r="E4" s="6">
        <v>43441</v>
      </c>
      <c r="F4" s="41">
        <f>E4-D4</f>
        <v>8</v>
      </c>
      <c r="G4" s="6" t="s">
        <v>19</v>
      </c>
      <c r="H4" s="5">
        <v>263.5</v>
      </c>
      <c r="I4" s="5">
        <v>260.5</v>
      </c>
      <c r="J4" s="5">
        <v>0.26</v>
      </c>
      <c r="K4" s="5">
        <f>H4-I4-J4</f>
        <v>2.74</v>
      </c>
      <c r="L4" s="7">
        <v>0.94779999999999998</v>
      </c>
      <c r="M4" s="5">
        <v>5.56</v>
      </c>
      <c r="N4" s="5">
        <v>0</v>
      </c>
      <c r="O4" s="5">
        <f t="shared" ref="O4:O18" si="0">J4-N4</f>
        <v>0.26</v>
      </c>
      <c r="P4" s="7">
        <f>J4/K4</f>
        <v>9.4890510948905105E-2</v>
      </c>
      <c r="R4" s="5">
        <f t="shared" ref="R4:R23" si="1">IF(O4&gt;0,1,0)</f>
        <v>1</v>
      </c>
      <c r="T4" s="5">
        <f>O4</f>
        <v>0.26</v>
      </c>
      <c r="U4" s="5">
        <f>IF(R4=1,O4)</f>
        <v>0.26</v>
      </c>
      <c r="V4" s="5" t="b">
        <f>IF(R4=0,O4)</f>
        <v>0</v>
      </c>
    </row>
    <row r="5" spans="1:25" s="5" customFormat="1" x14ac:dyDescent="0.3">
      <c r="A5" s="5">
        <v>2</v>
      </c>
      <c r="B5" s="5" t="s">
        <v>21</v>
      </c>
      <c r="C5" s="5" t="s">
        <v>9</v>
      </c>
      <c r="D5" s="6">
        <v>43441</v>
      </c>
      <c r="E5" s="6">
        <v>43448</v>
      </c>
      <c r="F5" s="41">
        <f t="shared" ref="F5:F36" si="2">E5-D5</f>
        <v>7</v>
      </c>
      <c r="G5" s="5" t="s">
        <v>20</v>
      </c>
      <c r="H5" s="5">
        <v>275</v>
      </c>
      <c r="I5" s="5">
        <v>278</v>
      </c>
      <c r="J5" s="5">
        <v>0.18</v>
      </c>
      <c r="K5" s="5">
        <f>I5-H5-J5</f>
        <v>2.82</v>
      </c>
      <c r="L5" s="7">
        <v>0.93720000000000003</v>
      </c>
      <c r="M5" s="5">
        <v>1.56</v>
      </c>
      <c r="N5" s="5">
        <v>0</v>
      </c>
      <c r="O5" s="5">
        <f t="shared" si="0"/>
        <v>0.18</v>
      </c>
      <c r="P5" s="7">
        <f>J5/K5</f>
        <v>6.3829787234042548E-2</v>
      </c>
      <c r="R5" s="5">
        <f t="shared" si="1"/>
        <v>1</v>
      </c>
      <c r="T5" s="5">
        <f>IF(R5=1,T4+O5,T4-O5)</f>
        <v>0.44</v>
      </c>
      <c r="U5" s="5">
        <f t="shared" ref="U5:U35" si="3">IF(R5=1,O5)</f>
        <v>0.18</v>
      </c>
      <c r="V5" s="5" t="b">
        <f t="shared" ref="V5:V35" si="4">IF(R5=0,O5)</f>
        <v>0</v>
      </c>
    </row>
    <row r="6" spans="1:25" s="5" customFormat="1" x14ac:dyDescent="0.3">
      <c r="A6" s="5">
        <v>3</v>
      </c>
      <c r="B6" s="5" t="s">
        <v>22</v>
      </c>
      <c r="C6" s="5" t="s">
        <v>23</v>
      </c>
      <c r="D6" s="6">
        <v>43450</v>
      </c>
      <c r="E6" s="6">
        <v>43483</v>
      </c>
      <c r="F6" s="41">
        <f t="shared" si="2"/>
        <v>33</v>
      </c>
      <c r="G6" s="5" t="s">
        <v>19</v>
      </c>
      <c r="H6" s="5">
        <v>143</v>
      </c>
      <c r="I6" s="5">
        <v>138</v>
      </c>
      <c r="J6" s="5">
        <v>0.33</v>
      </c>
      <c r="K6" s="5">
        <v>4.67</v>
      </c>
      <c r="L6" s="7">
        <v>0.93530000000000002</v>
      </c>
      <c r="M6" s="5">
        <v>2.2400000000000002</v>
      </c>
      <c r="N6" s="5">
        <v>0</v>
      </c>
      <c r="O6" s="5">
        <f t="shared" si="0"/>
        <v>0.33</v>
      </c>
      <c r="P6" s="7">
        <f>(J6-N6)/K6</f>
        <v>7.0663811563169171E-2</v>
      </c>
      <c r="R6" s="5">
        <f t="shared" si="1"/>
        <v>1</v>
      </c>
      <c r="T6" s="5">
        <f t="shared" ref="T6:T35" si="5">IF(R6=1,T5+O6,T5-O6)</f>
        <v>0.77</v>
      </c>
      <c r="U6" s="5">
        <f t="shared" si="3"/>
        <v>0.33</v>
      </c>
      <c r="V6" s="5" t="b">
        <f t="shared" si="4"/>
        <v>0</v>
      </c>
    </row>
    <row r="7" spans="1:25" s="5" customFormat="1" x14ac:dyDescent="0.3">
      <c r="A7" s="5">
        <v>4</v>
      </c>
      <c r="B7" s="5" t="s">
        <v>24</v>
      </c>
      <c r="C7" s="5" t="s">
        <v>9</v>
      </c>
      <c r="D7" s="6">
        <v>43475</v>
      </c>
      <c r="E7" s="6">
        <v>43483</v>
      </c>
      <c r="F7" s="41">
        <f t="shared" si="2"/>
        <v>8</v>
      </c>
      <c r="G7" s="5" t="s">
        <v>19</v>
      </c>
      <c r="H7" s="5">
        <v>250.5</v>
      </c>
      <c r="I7" s="5">
        <v>247.5</v>
      </c>
      <c r="J7" s="5">
        <v>0.2</v>
      </c>
      <c r="K7" s="5">
        <v>2.8</v>
      </c>
      <c r="L7" s="7">
        <v>0.91049999999999998</v>
      </c>
      <c r="M7" s="5">
        <v>0.49</v>
      </c>
      <c r="N7" s="5">
        <v>0</v>
      </c>
      <c r="O7" s="5">
        <f t="shared" si="0"/>
        <v>0.2</v>
      </c>
      <c r="P7" s="7">
        <f>J7/K7</f>
        <v>7.1428571428571438E-2</v>
      </c>
      <c r="R7" s="5">
        <f t="shared" si="1"/>
        <v>1</v>
      </c>
      <c r="T7" s="5">
        <f t="shared" si="5"/>
        <v>0.97</v>
      </c>
      <c r="U7" s="5">
        <f t="shared" si="3"/>
        <v>0.2</v>
      </c>
      <c r="V7" s="5" t="b">
        <f t="shared" si="4"/>
        <v>0</v>
      </c>
    </row>
    <row r="8" spans="1:25" s="5" customFormat="1" x14ac:dyDescent="0.3">
      <c r="A8" s="5">
        <v>5</v>
      </c>
      <c r="B8" s="5" t="s">
        <v>25</v>
      </c>
      <c r="C8" s="5" t="s">
        <v>9</v>
      </c>
      <c r="D8" s="6">
        <v>43481</v>
      </c>
      <c r="E8" s="6">
        <v>43497</v>
      </c>
      <c r="F8" s="41">
        <f t="shared" si="2"/>
        <v>16</v>
      </c>
      <c r="G8" s="5" t="s">
        <v>19</v>
      </c>
      <c r="H8" s="5">
        <v>250</v>
      </c>
      <c r="I8" s="5">
        <v>247</v>
      </c>
      <c r="J8" s="5">
        <v>0.2</v>
      </c>
      <c r="K8" s="5">
        <f>H8-I8-J8</f>
        <v>2.8</v>
      </c>
      <c r="L8" s="7">
        <v>0.91749999999999998</v>
      </c>
      <c r="M8" s="5">
        <v>0.59</v>
      </c>
      <c r="N8" s="5">
        <v>0</v>
      </c>
      <c r="O8" s="5">
        <f t="shared" si="0"/>
        <v>0.2</v>
      </c>
      <c r="P8" s="7">
        <f>J8/K8</f>
        <v>7.1428571428571438E-2</v>
      </c>
      <c r="R8" s="5">
        <f t="shared" si="1"/>
        <v>1</v>
      </c>
      <c r="T8" s="5">
        <f t="shared" si="5"/>
        <v>1.17</v>
      </c>
      <c r="U8" s="5">
        <f t="shared" si="3"/>
        <v>0.2</v>
      </c>
      <c r="V8" s="5" t="b">
        <f t="shared" si="4"/>
        <v>0</v>
      </c>
    </row>
    <row r="9" spans="1:25" s="5" customFormat="1" x14ac:dyDescent="0.3">
      <c r="A9" s="8">
        <v>6</v>
      </c>
      <c r="B9" s="9" t="s">
        <v>28</v>
      </c>
      <c r="C9" s="9" t="s">
        <v>23</v>
      </c>
      <c r="D9" s="10">
        <v>43490</v>
      </c>
      <c r="E9" s="10">
        <v>43497</v>
      </c>
      <c r="F9" s="41">
        <f t="shared" si="2"/>
        <v>7</v>
      </c>
      <c r="G9" s="9" t="s">
        <v>19</v>
      </c>
      <c r="H9" s="8">
        <v>159</v>
      </c>
      <c r="I9" s="8">
        <v>156</v>
      </c>
      <c r="J9" s="8">
        <v>0.21</v>
      </c>
      <c r="K9" s="8">
        <v>2.79</v>
      </c>
      <c r="L9" s="11">
        <v>0.92710000000000004</v>
      </c>
      <c r="M9" s="8">
        <v>2.95</v>
      </c>
      <c r="N9" s="12">
        <v>0</v>
      </c>
      <c r="O9" s="5">
        <f t="shared" si="0"/>
        <v>0.21</v>
      </c>
      <c r="P9" s="11">
        <f>J9/K9</f>
        <v>7.5268817204301078E-2</v>
      </c>
      <c r="R9" s="5">
        <f t="shared" si="1"/>
        <v>1</v>
      </c>
      <c r="T9" s="5">
        <f t="shared" si="5"/>
        <v>1.38</v>
      </c>
      <c r="U9" s="5">
        <f t="shared" si="3"/>
        <v>0.21</v>
      </c>
      <c r="V9" s="5" t="b">
        <f t="shared" si="4"/>
        <v>0</v>
      </c>
    </row>
    <row r="10" spans="1:25" s="5" customFormat="1" x14ac:dyDescent="0.3">
      <c r="A10" s="5">
        <v>7</v>
      </c>
      <c r="B10" s="5" t="s">
        <v>24</v>
      </c>
      <c r="C10" s="5" t="s">
        <v>9</v>
      </c>
      <c r="D10" s="6">
        <v>43503</v>
      </c>
      <c r="E10" s="6">
        <v>43532</v>
      </c>
      <c r="F10" s="41">
        <f t="shared" si="2"/>
        <v>29</v>
      </c>
      <c r="G10" s="5" t="s">
        <v>31</v>
      </c>
      <c r="H10" s="5">
        <v>254</v>
      </c>
      <c r="I10" s="5">
        <v>250</v>
      </c>
      <c r="J10" s="5">
        <v>0.23</v>
      </c>
      <c r="K10" s="5">
        <v>3.77</v>
      </c>
      <c r="L10" s="7">
        <v>0.94569999999999999</v>
      </c>
      <c r="M10" s="5">
        <v>2.0499999999999998</v>
      </c>
      <c r="N10" s="5">
        <v>0</v>
      </c>
      <c r="O10" s="5">
        <f t="shared" si="0"/>
        <v>0.23</v>
      </c>
      <c r="P10" s="7">
        <f>J10/K10</f>
        <v>6.1007957559681698E-2</v>
      </c>
      <c r="R10" s="5">
        <f t="shared" si="1"/>
        <v>1</v>
      </c>
      <c r="T10" s="5">
        <f t="shared" si="5"/>
        <v>1.6099999999999999</v>
      </c>
      <c r="U10" s="5">
        <f t="shared" si="3"/>
        <v>0.23</v>
      </c>
      <c r="V10" s="5" t="b">
        <f t="shared" si="4"/>
        <v>0</v>
      </c>
    </row>
    <row r="11" spans="1:25" s="5" customFormat="1" x14ac:dyDescent="0.3">
      <c r="A11" s="5">
        <v>8</v>
      </c>
      <c r="B11" s="5" t="s">
        <v>22</v>
      </c>
      <c r="C11" s="5" t="s">
        <v>50</v>
      </c>
      <c r="D11" s="6">
        <v>43536</v>
      </c>
      <c r="E11" s="6">
        <v>43546</v>
      </c>
      <c r="F11" s="41">
        <f t="shared" si="2"/>
        <v>10</v>
      </c>
      <c r="G11" s="5" t="s">
        <v>31</v>
      </c>
      <c r="H11" s="5">
        <v>249</v>
      </c>
      <c r="I11" s="5">
        <v>244</v>
      </c>
      <c r="J11" s="5">
        <v>0.44</v>
      </c>
      <c r="K11" s="5">
        <v>4.5599999999999996</v>
      </c>
      <c r="L11" s="7">
        <v>0.90869999999999995</v>
      </c>
      <c r="N11" s="5">
        <v>0</v>
      </c>
      <c r="O11" s="5">
        <f t="shared" si="0"/>
        <v>0.44</v>
      </c>
      <c r="P11" s="7">
        <f t="shared" ref="P11:P13" si="6">J11/K11</f>
        <v>9.6491228070175447E-2</v>
      </c>
      <c r="R11" s="5">
        <f t="shared" si="1"/>
        <v>1</v>
      </c>
      <c r="T11" s="5">
        <f t="shared" si="5"/>
        <v>2.0499999999999998</v>
      </c>
      <c r="U11" s="5">
        <f t="shared" si="3"/>
        <v>0.44</v>
      </c>
      <c r="V11" s="5" t="b">
        <f t="shared" si="4"/>
        <v>0</v>
      </c>
    </row>
    <row r="12" spans="1:25" s="5" customFormat="1" x14ac:dyDescent="0.3">
      <c r="A12" s="5">
        <v>9</v>
      </c>
      <c r="B12" s="5" t="s">
        <v>25</v>
      </c>
      <c r="C12" s="5" t="s">
        <v>53</v>
      </c>
      <c r="D12" s="6">
        <v>43537</v>
      </c>
      <c r="E12" s="6">
        <v>43546</v>
      </c>
      <c r="F12" s="41">
        <f t="shared" si="2"/>
        <v>9</v>
      </c>
      <c r="G12" s="5" t="s">
        <v>31</v>
      </c>
      <c r="H12" s="5">
        <v>350</v>
      </c>
      <c r="I12" s="5">
        <v>345</v>
      </c>
      <c r="J12" s="5">
        <v>0.74</v>
      </c>
      <c r="K12" s="5">
        <f>H12-I12-J12</f>
        <v>4.26</v>
      </c>
      <c r="L12" s="7">
        <v>0.85640000000000005</v>
      </c>
      <c r="M12" s="5">
        <v>1.45</v>
      </c>
      <c r="N12" s="5">
        <v>0</v>
      </c>
      <c r="O12" s="5">
        <f t="shared" si="0"/>
        <v>0.74</v>
      </c>
      <c r="P12" s="7">
        <f t="shared" si="6"/>
        <v>0.17370892018779344</v>
      </c>
      <c r="R12" s="5">
        <f t="shared" si="1"/>
        <v>1</v>
      </c>
      <c r="T12" s="5">
        <f t="shared" si="5"/>
        <v>2.79</v>
      </c>
      <c r="U12" s="5">
        <f t="shared" si="3"/>
        <v>0.74</v>
      </c>
      <c r="V12" s="5" t="b">
        <f t="shared" si="4"/>
        <v>0</v>
      </c>
    </row>
    <row r="13" spans="1:25" s="5" customFormat="1" x14ac:dyDescent="0.3">
      <c r="A13" s="5">
        <v>10</v>
      </c>
      <c r="B13" s="5" t="s">
        <v>17</v>
      </c>
      <c r="C13" s="5" t="s">
        <v>9</v>
      </c>
      <c r="D13" s="6">
        <v>43549</v>
      </c>
      <c r="E13" s="6">
        <v>43553</v>
      </c>
      <c r="F13" s="41">
        <f t="shared" si="2"/>
        <v>4</v>
      </c>
      <c r="G13" s="5" t="s">
        <v>31</v>
      </c>
      <c r="H13" s="5">
        <v>270</v>
      </c>
      <c r="I13" s="5">
        <v>267</v>
      </c>
      <c r="J13" s="5">
        <v>0.22</v>
      </c>
      <c r="K13" s="5">
        <f>H13-I13-J13</f>
        <v>2.78</v>
      </c>
      <c r="L13" s="7">
        <v>0.98480000000000001</v>
      </c>
      <c r="N13" s="5">
        <v>0</v>
      </c>
      <c r="O13" s="5">
        <f t="shared" si="0"/>
        <v>0.22</v>
      </c>
      <c r="P13" s="7">
        <f t="shared" si="6"/>
        <v>7.9136690647482022E-2</v>
      </c>
      <c r="R13" s="5">
        <f t="shared" si="1"/>
        <v>1</v>
      </c>
      <c r="T13" s="5">
        <f t="shared" si="5"/>
        <v>3.0100000000000002</v>
      </c>
      <c r="U13" s="5">
        <f t="shared" si="3"/>
        <v>0.22</v>
      </c>
      <c r="V13" s="5" t="b">
        <f t="shared" si="4"/>
        <v>0</v>
      </c>
    </row>
    <row r="14" spans="1:25" s="21" customFormat="1" x14ac:dyDescent="0.3">
      <c r="A14" s="21">
        <v>11</v>
      </c>
      <c r="B14" s="21" t="s">
        <v>22</v>
      </c>
      <c r="C14" s="21" t="s">
        <v>73</v>
      </c>
      <c r="D14" s="22">
        <v>43563</v>
      </c>
      <c r="E14" s="22">
        <v>43573</v>
      </c>
      <c r="F14" s="48">
        <f t="shared" si="2"/>
        <v>10</v>
      </c>
      <c r="G14" s="21" t="s">
        <v>31</v>
      </c>
      <c r="H14" s="21">
        <v>235</v>
      </c>
      <c r="I14" s="21">
        <v>230</v>
      </c>
      <c r="J14" s="21">
        <v>0.55000000000000004</v>
      </c>
      <c r="K14" s="21">
        <v>4.45</v>
      </c>
      <c r="L14" s="24">
        <v>0.95630000000000004</v>
      </c>
      <c r="O14" s="21">
        <v>-4.45</v>
      </c>
      <c r="P14" s="36">
        <f>O14/K14</f>
        <v>-1</v>
      </c>
      <c r="R14" s="21">
        <f t="shared" si="1"/>
        <v>0</v>
      </c>
      <c r="T14" s="21">
        <f>IF(R14=1,T13+O14,T13+O14)</f>
        <v>-1.44</v>
      </c>
      <c r="U14" s="21" t="b">
        <f t="shared" si="3"/>
        <v>0</v>
      </c>
      <c r="V14" s="21">
        <f t="shared" si="4"/>
        <v>-4.45</v>
      </c>
    </row>
    <row r="15" spans="1:25" s="5" customFormat="1" x14ac:dyDescent="0.3">
      <c r="A15" s="5">
        <v>12</v>
      </c>
      <c r="B15" s="5" t="s">
        <v>24</v>
      </c>
      <c r="C15" s="5" t="s">
        <v>53</v>
      </c>
      <c r="D15" s="6">
        <v>43574</v>
      </c>
      <c r="E15" s="6">
        <v>43581</v>
      </c>
      <c r="F15" s="41">
        <f t="shared" si="2"/>
        <v>7</v>
      </c>
      <c r="G15" s="5" t="s">
        <v>31</v>
      </c>
      <c r="H15" s="5">
        <v>355</v>
      </c>
      <c r="I15" s="5">
        <v>350</v>
      </c>
      <c r="J15" s="5">
        <v>0.49</v>
      </c>
      <c r="K15" s="5">
        <v>4.51</v>
      </c>
      <c r="L15" s="7">
        <v>0.92589999999999995</v>
      </c>
      <c r="M15" s="5">
        <v>4</v>
      </c>
      <c r="N15" s="5">
        <v>0</v>
      </c>
      <c r="O15" s="5">
        <f t="shared" si="0"/>
        <v>0.49</v>
      </c>
      <c r="P15" s="7">
        <f>J15/K15</f>
        <v>0.10864745011086475</v>
      </c>
      <c r="Q15" s="9" t="s">
        <v>75</v>
      </c>
      <c r="R15" s="5">
        <f t="shared" si="1"/>
        <v>1</v>
      </c>
      <c r="T15" s="5">
        <f t="shared" si="5"/>
        <v>-0.95</v>
      </c>
      <c r="U15" s="5">
        <f t="shared" si="3"/>
        <v>0.49</v>
      </c>
      <c r="V15" s="5" t="b">
        <f t="shared" si="4"/>
        <v>0</v>
      </c>
    </row>
    <row r="16" spans="1:25" s="5" customFormat="1" x14ac:dyDescent="0.3">
      <c r="A16" s="5">
        <v>13</v>
      </c>
      <c r="B16" s="5" t="s">
        <v>17</v>
      </c>
      <c r="C16" s="5" t="s">
        <v>76</v>
      </c>
      <c r="D16" s="6">
        <v>43580</v>
      </c>
      <c r="E16" s="6">
        <v>43588</v>
      </c>
      <c r="F16" s="41">
        <f t="shared" si="2"/>
        <v>8</v>
      </c>
      <c r="G16" s="5" t="s">
        <v>31</v>
      </c>
      <c r="H16" s="5">
        <v>79</v>
      </c>
      <c r="I16" s="5">
        <v>75</v>
      </c>
      <c r="J16" s="5">
        <v>0.39</v>
      </c>
      <c r="K16" s="5">
        <f>H16-I16-J16</f>
        <v>3.61</v>
      </c>
      <c r="L16" s="7">
        <v>0.94059999999999999</v>
      </c>
      <c r="M16" s="5">
        <v>7.55</v>
      </c>
      <c r="N16" s="5">
        <v>0</v>
      </c>
      <c r="O16" s="5">
        <f t="shared" si="0"/>
        <v>0.39</v>
      </c>
      <c r="P16" s="7">
        <f>J16/K16</f>
        <v>0.10803324099722993</v>
      </c>
      <c r="Q16" s="9" t="s">
        <v>77</v>
      </c>
      <c r="R16" s="5">
        <f t="shared" si="1"/>
        <v>1</v>
      </c>
      <c r="T16" s="5">
        <f t="shared" si="5"/>
        <v>-0.55999999999999994</v>
      </c>
      <c r="U16" s="5">
        <f t="shared" si="3"/>
        <v>0.39</v>
      </c>
      <c r="V16" s="5" t="b">
        <f t="shared" si="4"/>
        <v>0</v>
      </c>
    </row>
    <row r="17" spans="1:22" s="5" customFormat="1" x14ac:dyDescent="0.3">
      <c r="A17" s="5">
        <v>14</v>
      </c>
      <c r="B17" s="5" t="s">
        <v>81</v>
      </c>
      <c r="C17" s="5" t="s">
        <v>80</v>
      </c>
      <c r="D17" s="6">
        <v>43587</v>
      </c>
      <c r="E17" s="6">
        <v>43595</v>
      </c>
      <c r="F17" s="41">
        <f t="shared" si="2"/>
        <v>8</v>
      </c>
      <c r="G17" s="5" t="s">
        <v>31</v>
      </c>
      <c r="H17" s="5">
        <v>82</v>
      </c>
      <c r="I17" s="5">
        <v>79</v>
      </c>
      <c r="J17" s="5">
        <v>0.32</v>
      </c>
      <c r="K17" s="5">
        <v>2.68</v>
      </c>
      <c r="L17" s="7">
        <v>0.97799999999999998</v>
      </c>
      <c r="N17" s="5">
        <v>0</v>
      </c>
      <c r="O17" s="5">
        <f t="shared" si="0"/>
        <v>0.32</v>
      </c>
      <c r="P17" s="7">
        <f>J17/K17</f>
        <v>0.11940298507462686</v>
      </c>
      <c r="R17" s="5">
        <f t="shared" si="1"/>
        <v>1</v>
      </c>
      <c r="T17" s="5">
        <f t="shared" si="5"/>
        <v>-0.23999999999999994</v>
      </c>
      <c r="U17" s="5">
        <f t="shared" si="3"/>
        <v>0.32</v>
      </c>
      <c r="V17" s="5" t="b">
        <f t="shared" si="4"/>
        <v>0</v>
      </c>
    </row>
    <row r="18" spans="1:22" s="5" customFormat="1" x14ac:dyDescent="0.3">
      <c r="A18" s="5">
        <v>15</v>
      </c>
      <c r="B18" s="5" t="s">
        <v>17</v>
      </c>
      <c r="C18" s="5" t="s">
        <v>44</v>
      </c>
      <c r="D18" s="6">
        <v>43595</v>
      </c>
      <c r="E18" s="6">
        <v>43602</v>
      </c>
      <c r="F18" s="41">
        <f t="shared" si="2"/>
        <v>7</v>
      </c>
      <c r="G18" s="5" t="s">
        <v>126</v>
      </c>
      <c r="H18" s="40" t="s">
        <v>78</v>
      </c>
      <c r="I18" s="40" t="s">
        <v>79</v>
      </c>
      <c r="J18" s="5">
        <v>1.1200000000000001</v>
      </c>
      <c r="K18" s="5">
        <f>5-J18</f>
        <v>3.88</v>
      </c>
      <c r="L18" s="7">
        <v>0.82489999999999997</v>
      </c>
      <c r="N18" s="5">
        <v>1</v>
      </c>
      <c r="O18" s="5">
        <f t="shared" si="0"/>
        <v>0.12000000000000011</v>
      </c>
      <c r="P18" s="7">
        <f>O18/K18</f>
        <v>3.0927835051546421E-2</v>
      </c>
      <c r="Q18" s="5" t="s">
        <v>83</v>
      </c>
      <c r="R18" s="5">
        <f t="shared" si="1"/>
        <v>1</v>
      </c>
      <c r="T18" s="5">
        <f t="shared" si="5"/>
        <v>-0.11999999999999983</v>
      </c>
      <c r="U18" s="5">
        <f t="shared" si="3"/>
        <v>0.12000000000000011</v>
      </c>
      <c r="V18" s="5" t="b">
        <f t="shared" si="4"/>
        <v>0</v>
      </c>
    </row>
    <row r="19" spans="1:22" s="5" customFormat="1" x14ac:dyDescent="0.3">
      <c r="A19" s="5">
        <v>16</v>
      </c>
      <c r="B19" s="5" t="s">
        <v>24</v>
      </c>
      <c r="C19" s="5" t="s">
        <v>87</v>
      </c>
      <c r="D19" s="6">
        <v>43602</v>
      </c>
      <c r="E19" s="6">
        <v>43609</v>
      </c>
      <c r="F19" s="41">
        <f t="shared" si="2"/>
        <v>7</v>
      </c>
      <c r="G19" s="5" t="s">
        <v>19</v>
      </c>
      <c r="H19" s="5">
        <v>63</v>
      </c>
      <c r="I19" s="5">
        <v>60</v>
      </c>
      <c r="J19" s="5">
        <v>0.32</v>
      </c>
      <c r="K19" s="5">
        <f>H19-I19-J19</f>
        <v>2.68</v>
      </c>
      <c r="L19" s="7">
        <v>0.94869999999999999</v>
      </c>
      <c r="M19" s="41">
        <f>(L19*J19)+((1-L19)*-K19)</f>
        <v>0.16609999999999997</v>
      </c>
      <c r="N19" s="5">
        <v>68.930000000000007</v>
      </c>
      <c r="O19" s="41">
        <f>J19</f>
        <v>0.32</v>
      </c>
      <c r="P19" s="7">
        <f>O19/K19</f>
        <v>0.11940298507462686</v>
      </c>
      <c r="Q19" s="5" t="s">
        <v>88</v>
      </c>
      <c r="R19" s="5">
        <f t="shared" si="1"/>
        <v>1</v>
      </c>
      <c r="T19" s="5">
        <f t="shared" si="5"/>
        <v>0.20000000000000018</v>
      </c>
      <c r="U19" s="5">
        <f t="shared" si="3"/>
        <v>0.32</v>
      </c>
      <c r="V19" s="5" t="b">
        <f t="shared" si="4"/>
        <v>0</v>
      </c>
    </row>
    <row r="20" spans="1:22" s="5" customFormat="1" x14ac:dyDescent="0.3">
      <c r="A20" s="5">
        <v>17</v>
      </c>
      <c r="B20" s="5" t="s">
        <v>51</v>
      </c>
      <c r="C20" s="5" t="s">
        <v>9</v>
      </c>
      <c r="D20" s="6">
        <v>43613</v>
      </c>
      <c r="E20" s="6">
        <v>43623</v>
      </c>
      <c r="F20" s="41">
        <f t="shared" si="2"/>
        <v>10</v>
      </c>
      <c r="G20" s="5" t="s">
        <v>19</v>
      </c>
      <c r="H20" s="5">
        <v>273</v>
      </c>
      <c r="I20" s="5">
        <v>270</v>
      </c>
      <c r="J20" s="5">
        <v>0.49</v>
      </c>
      <c r="K20" s="5">
        <f>(H20-I20-J20)</f>
        <v>2.5099999999999998</v>
      </c>
      <c r="L20" s="7">
        <v>0.90239999999999998</v>
      </c>
      <c r="N20" s="5">
        <v>0</v>
      </c>
      <c r="O20" s="5">
        <f t="shared" ref="O20:O29" si="7">J20-N20</f>
        <v>0.49</v>
      </c>
      <c r="P20" s="7">
        <f t="shared" ref="P20:P23" si="8">O20/K20</f>
        <v>0.19521912350597612</v>
      </c>
      <c r="Q20" s="5" t="s">
        <v>89</v>
      </c>
      <c r="R20" s="5">
        <f t="shared" si="1"/>
        <v>1</v>
      </c>
      <c r="T20" s="5">
        <f t="shared" si="5"/>
        <v>0.69000000000000017</v>
      </c>
      <c r="U20" s="5">
        <f t="shared" si="3"/>
        <v>0.49</v>
      </c>
      <c r="V20" s="5" t="b">
        <f t="shared" si="4"/>
        <v>0</v>
      </c>
    </row>
    <row r="21" spans="1:22" s="5" customFormat="1" x14ac:dyDescent="0.3">
      <c r="A21" s="5">
        <v>18</v>
      </c>
      <c r="B21" s="5" t="s">
        <v>56</v>
      </c>
      <c r="C21" s="5" t="s">
        <v>44</v>
      </c>
      <c r="D21" s="6">
        <v>43613</v>
      </c>
      <c r="E21" s="6">
        <v>43637</v>
      </c>
      <c r="F21" s="41">
        <f t="shared" si="2"/>
        <v>24</v>
      </c>
      <c r="G21" s="5" t="s">
        <v>19</v>
      </c>
      <c r="H21" s="5">
        <v>162.5</v>
      </c>
      <c r="I21" s="5">
        <v>160</v>
      </c>
      <c r="J21" s="5">
        <v>0.27</v>
      </c>
      <c r="K21" s="5">
        <f>(H21-I21-J21)</f>
        <v>2.23</v>
      </c>
      <c r="L21" s="7">
        <v>0.87029999999999996</v>
      </c>
      <c r="N21" s="5">
        <v>0</v>
      </c>
      <c r="O21" s="5">
        <f t="shared" si="7"/>
        <v>0.27</v>
      </c>
      <c r="P21" s="7">
        <f t="shared" si="8"/>
        <v>0.1210762331838565</v>
      </c>
      <c r="Q21" s="5" t="s">
        <v>90</v>
      </c>
      <c r="R21" s="5">
        <f t="shared" si="1"/>
        <v>1</v>
      </c>
      <c r="T21" s="5">
        <f t="shared" si="5"/>
        <v>0.96000000000000019</v>
      </c>
      <c r="U21" s="5">
        <f t="shared" si="3"/>
        <v>0.27</v>
      </c>
      <c r="V21" s="5" t="b">
        <f t="shared" si="4"/>
        <v>0</v>
      </c>
    </row>
    <row r="22" spans="1:22" s="5" customFormat="1" x14ac:dyDescent="0.3">
      <c r="A22" s="5">
        <v>19</v>
      </c>
      <c r="B22" s="5" t="s">
        <v>92</v>
      </c>
      <c r="C22" s="5" t="s">
        <v>9</v>
      </c>
      <c r="D22" s="6">
        <v>43620</v>
      </c>
      <c r="E22" s="6">
        <v>43637</v>
      </c>
      <c r="F22" s="41">
        <f t="shared" si="2"/>
        <v>17</v>
      </c>
      <c r="G22" s="5" t="s">
        <v>19</v>
      </c>
      <c r="H22" s="5">
        <v>260</v>
      </c>
      <c r="I22" s="5">
        <v>257</v>
      </c>
      <c r="J22" s="5">
        <v>0.27</v>
      </c>
      <c r="K22" s="5">
        <f>H22-I22-J22</f>
        <v>2.73</v>
      </c>
      <c r="L22" s="7">
        <v>0.92149999999999999</v>
      </c>
      <c r="N22" s="5">
        <v>0</v>
      </c>
      <c r="O22" s="5">
        <f t="shared" si="7"/>
        <v>0.27</v>
      </c>
      <c r="P22" s="7">
        <f t="shared" si="8"/>
        <v>9.8901098901098911E-2</v>
      </c>
      <c r="Q22" s="5" t="s">
        <v>93</v>
      </c>
      <c r="R22" s="5">
        <f t="shared" si="1"/>
        <v>1</v>
      </c>
      <c r="T22" s="5">
        <f t="shared" si="5"/>
        <v>1.2300000000000002</v>
      </c>
      <c r="U22" s="5">
        <f t="shared" si="3"/>
        <v>0.27</v>
      </c>
      <c r="V22" s="5" t="b">
        <f t="shared" si="4"/>
        <v>0</v>
      </c>
    </row>
    <row r="23" spans="1:22" s="5" customFormat="1" x14ac:dyDescent="0.3">
      <c r="A23" s="5">
        <v>20</v>
      </c>
      <c r="B23" s="5" t="s">
        <v>92</v>
      </c>
      <c r="C23" s="5" t="s">
        <v>9</v>
      </c>
      <c r="D23" s="6">
        <v>43622</v>
      </c>
      <c r="E23" s="6">
        <v>43637</v>
      </c>
      <c r="F23" s="41">
        <f t="shared" si="2"/>
        <v>15</v>
      </c>
      <c r="G23" s="5" t="s">
        <v>19</v>
      </c>
      <c r="H23" s="5">
        <v>274</v>
      </c>
      <c r="I23" s="5">
        <v>271</v>
      </c>
      <c r="J23" s="5">
        <v>0.3</v>
      </c>
      <c r="K23" s="5">
        <f>H23-I23-J23</f>
        <v>2.7</v>
      </c>
      <c r="L23" s="7">
        <v>0.9204</v>
      </c>
      <c r="M23" s="5">
        <v>4.43</v>
      </c>
      <c r="N23" s="5">
        <v>0</v>
      </c>
      <c r="O23" s="5">
        <f t="shared" si="7"/>
        <v>0.3</v>
      </c>
      <c r="P23" s="7">
        <f t="shared" si="8"/>
        <v>0.1111111111111111</v>
      </c>
      <c r="Q23" s="5" t="s">
        <v>94</v>
      </c>
      <c r="R23" s="5">
        <f t="shared" si="1"/>
        <v>1</v>
      </c>
      <c r="T23" s="5">
        <f t="shared" si="5"/>
        <v>1.5300000000000002</v>
      </c>
      <c r="U23" s="5">
        <f t="shared" si="3"/>
        <v>0.3</v>
      </c>
      <c r="V23" s="5" t="b">
        <f t="shared" si="4"/>
        <v>0</v>
      </c>
    </row>
    <row r="24" spans="1:22" s="5" customFormat="1" x14ac:dyDescent="0.3">
      <c r="A24" s="5">
        <v>21</v>
      </c>
      <c r="B24" s="5" t="s">
        <v>92</v>
      </c>
      <c r="C24" s="5" t="s">
        <v>23</v>
      </c>
      <c r="D24" s="6">
        <v>43632</v>
      </c>
      <c r="E24" s="6">
        <v>43644</v>
      </c>
      <c r="F24" s="41">
        <f t="shared" si="2"/>
        <v>12</v>
      </c>
      <c r="G24" s="5" t="s">
        <v>19</v>
      </c>
      <c r="H24" s="5">
        <v>173</v>
      </c>
      <c r="I24" s="5">
        <v>170</v>
      </c>
      <c r="J24" s="5">
        <v>0.28000000000000003</v>
      </c>
      <c r="K24" s="5">
        <f>H24-I24-J24</f>
        <v>2.7199999999999998</v>
      </c>
      <c r="L24" s="7">
        <v>0.93959999999999999</v>
      </c>
      <c r="M24" s="5">
        <v>2.56</v>
      </c>
      <c r="N24" s="5">
        <v>0</v>
      </c>
      <c r="O24" s="5">
        <f t="shared" si="7"/>
        <v>0.28000000000000003</v>
      </c>
      <c r="P24" s="7">
        <f t="shared" ref="P24:P25" si="9">O24/K24</f>
        <v>0.10294117647058826</v>
      </c>
      <c r="Q24" s="5" t="s">
        <v>95</v>
      </c>
      <c r="R24" s="5">
        <v>1</v>
      </c>
      <c r="T24" s="5">
        <f t="shared" si="5"/>
        <v>1.8100000000000003</v>
      </c>
      <c r="U24" s="5">
        <f t="shared" si="3"/>
        <v>0.28000000000000003</v>
      </c>
      <c r="V24" s="5" t="b">
        <f t="shared" si="4"/>
        <v>0</v>
      </c>
    </row>
    <row r="25" spans="1:22" s="5" customFormat="1" x14ac:dyDescent="0.3">
      <c r="A25" s="5">
        <v>22</v>
      </c>
      <c r="B25" s="5" t="s">
        <v>56</v>
      </c>
      <c r="C25" s="5" t="s">
        <v>96</v>
      </c>
      <c r="D25" s="6">
        <v>43636</v>
      </c>
      <c r="E25" s="6">
        <v>43665</v>
      </c>
      <c r="F25" s="41">
        <f t="shared" si="2"/>
        <v>29</v>
      </c>
      <c r="G25" s="5" t="s">
        <v>20</v>
      </c>
      <c r="H25" s="5">
        <v>139</v>
      </c>
      <c r="I25" s="5">
        <v>142</v>
      </c>
      <c r="J25" s="5">
        <v>0.21</v>
      </c>
      <c r="K25" s="5">
        <f>I25-H25-J25</f>
        <v>2.79</v>
      </c>
      <c r="L25" s="7">
        <v>0.92120000000000002</v>
      </c>
      <c r="N25" s="5">
        <v>0</v>
      </c>
      <c r="O25" s="5">
        <f t="shared" si="7"/>
        <v>0.21</v>
      </c>
      <c r="P25" s="7">
        <f t="shared" si="9"/>
        <v>7.5268817204301078E-2</v>
      </c>
      <c r="Q25" s="5" t="s">
        <v>97</v>
      </c>
      <c r="R25" s="5">
        <v>1</v>
      </c>
      <c r="T25" s="5">
        <f t="shared" si="5"/>
        <v>2.0200000000000005</v>
      </c>
      <c r="U25" s="5">
        <f t="shared" si="3"/>
        <v>0.21</v>
      </c>
      <c r="V25" s="5" t="b">
        <f t="shared" si="4"/>
        <v>0</v>
      </c>
    </row>
    <row r="26" spans="1:22" s="5" customFormat="1" x14ac:dyDescent="0.3">
      <c r="A26" s="5">
        <v>23</v>
      </c>
      <c r="B26" s="5" t="s">
        <v>98</v>
      </c>
      <c r="C26" s="5" t="s">
        <v>23</v>
      </c>
      <c r="D26" s="6">
        <v>43641</v>
      </c>
      <c r="E26" s="6">
        <v>43651</v>
      </c>
      <c r="F26" s="41">
        <f t="shared" si="2"/>
        <v>10</v>
      </c>
      <c r="G26" s="5" t="s">
        <v>19</v>
      </c>
      <c r="H26" s="5">
        <v>178</v>
      </c>
      <c r="I26" s="5">
        <v>176</v>
      </c>
      <c r="J26" s="5">
        <v>0.22</v>
      </c>
      <c r="K26" s="5">
        <f t="shared" ref="K26:K31" si="10">H26-I26-J26</f>
        <v>1.78</v>
      </c>
      <c r="L26" s="7">
        <v>0.88690000000000002</v>
      </c>
      <c r="M26" s="5">
        <v>0.11</v>
      </c>
      <c r="N26" s="5">
        <v>0</v>
      </c>
      <c r="O26" s="5">
        <f t="shared" si="7"/>
        <v>0.22</v>
      </c>
      <c r="P26" s="7">
        <f t="shared" ref="P26:P33" si="11">J26/K26</f>
        <v>0.12359550561797752</v>
      </c>
      <c r="Q26" s="5" t="s">
        <v>99</v>
      </c>
      <c r="R26" s="5">
        <v>1</v>
      </c>
      <c r="T26" s="5">
        <f t="shared" si="5"/>
        <v>2.2400000000000007</v>
      </c>
      <c r="U26" s="5">
        <f t="shared" si="3"/>
        <v>0.22</v>
      </c>
      <c r="V26" s="5" t="b">
        <f t="shared" si="4"/>
        <v>0</v>
      </c>
    </row>
    <row r="27" spans="1:22" s="5" customFormat="1" x14ac:dyDescent="0.3">
      <c r="A27" s="5">
        <v>24</v>
      </c>
      <c r="B27" s="5" t="s">
        <v>92</v>
      </c>
      <c r="C27" s="5" t="s">
        <v>103</v>
      </c>
      <c r="D27" s="6">
        <v>43661</v>
      </c>
      <c r="E27" s="6">
        <v>43672</v>
      </c>
      <c r="F27" s="41">
        <f t="shared" si="2"/>
        <v>11</v>
      </c>
      <c r="G27" s="5" t="s">
        <v>19</v>
      </c>
      <c r="H27" s="5">
        <v>133</v>
      </c>
      <c r="I27" s="5">
        <v>130</v>
      </c>
      <c r="J27" s="5">
        <v>0.38</v>
      </c>
      <c r="K27" s="5">
        <f t="shared" si="10"/>
        <v>2.62</v>
      </c>
      <c r="L27" s="7">
        <v>0.88690000000000002</v>
      </c>
      <c r="M27" s="5">
        <v>5.46</v>
      </c>
      <c r="N27" s="5">
        <v>0</v>
      </c>
      <c r="O27" s="5">
        <f t="shared" si="7"/>
        <v>0.38</v>
      </c>
      <c r="P27" s="7">
        <f t="shared" si="11"/>
        <v>0.14503816793893129</v>
      </c>
      <c r="Q27" s="5" t="s">
        <v>104</v>
      </c>
      <c r="R27" s="5">
        <v>1</v>
      </c>
      <c r="T27" s="5">
        <f>IF(R27=1,T26+O27,T26-O27)</f>
        <v>2.6200000000000006</v>
      </c>
      <c r="U27" s="5">
        <f t="shared" si="3"/>
        <v>0.38</v>
      </c>
      <c r="V27" s="5" t="b">
        <f t="shared" si="4"/>
        <v>0</v>
      </c>
    </row>
    <row r="28" spans="1:22" s="5" customFormat="1" x14ac:dyDescent="0.3">
      <c r="A28" s="5">
        <v>25</v>
      </c>
      <c r="B28" s="5" t="s">
        <v>28</v>
      </c>
      <c r="C28" s="5" t="s">
        <v>9</v>
      </c>
      <c r="D28" s="6">
        <v>43667</v>
      </c>
      <c r="E28" s="6">
        <v>43679</v>
      </c>
      <c r="F28" s="41">
        <f t="shared" si="2"/>
        <v>12</v>
      </c>
      <c r="G28" s="5" t="s">
        <v>19</v>
      </c>
      <c r="H28" s="5">
        <v>287</v>
      </c>
      <c r="I28" s="5">
        <v>284</v>
      </c>
      <c r="J28" s="5">
        <v>0.21</v>
      </c>
      <c r="K28" s="5">
        <f t="shared" si="10"/>
        <v>2.79</v>
      </c>
      <c r="L28" s="7">
        <v>0.94069999999999998</v>
      </c>
      <c r="M28" s="5">
        <v>3.16</v>
      </c>
      <c r="N28" s="5">
        <v>0</v>
      </c>
      <c r="O28" s="5">
        <f t="shared" si="7"/>
        <v>0.21</v>
      </c>
      <c r="P28" s="7">
        <f t="shared" si="11"/>
        <v>7.5268817204301078E-2</v>
      </c>
      <c r="Q28" s="5" t="s">
        <v>105</v>
      </c>
      <c r="R28" s="5">
        <v>1</v>
      </c>
      <c r="T28" s="5">
        <f t="shared" si="5"/>
        <v>2.8300000000000005</v>
      </c>
      <c r="U28" s="5">
        <f t="shared" si="3"/>
        <v>0.21</v>
      </c>
      <c r="V28" s="5" t="b">
        <f t="shared" si="4"/>
        <v>0</v>
      </c>
    </row>
    <row r="29" spans="1:22" s="5" customFormat="1" x14ac:dyDescent="0.3">
      <c r="A29" s="5">
        <v>26</v>
      </c>
      <c r="B29" s="5" t="s">
        <v>28</v>
      </c>
      <c r="C29" s="5" t="s">
        <v>9</v>
      </c>
      <c r="D29" s="6">
        <v>43682</v>
      </c>
      <c r="E29" s="6">
        <v>43693</v>
      </c>
      <c r="F29" s="41">
        <f t="shared" si="2"/>
        <v>11</v>
      </c>
      <c r="G29" s="5" t="s">
        <v>19</v>
      </c>
      <c r="H29" s="5">
        <v>267</v>
      </c>
      <c r="I29" s="5">
        <v>264</v>
      </c>
      <c r="J29" s="5">
        <v>0.23</v>
      </c>
      <c r="K29" s="5">
        <f t="shared" si="10"/>
        <v>2.77</v>
      </c>
      <c r="L29" s="7">
        <v>0.95499999999999996</v>
      </c>
      <c r="M29" s="5">
        <v>4.57</v>
      </c>
      <c r="N29" s="5">
        <v>0</v>
      </c>
      <c r="O29" s="5">
        <f t="shared" si="7"/>
        <v>0.23</v>
      </c>
      <c r="P29" s="7">
        <f t="shared" si="11"/>
        <v>8.3032490974729242E-2</v>
      </c>
      <c r="R29" s="5">
        <v>1</v>
      </c>
      <c r="T29" s="5">
        <f t="shared" si="5"/>
        <v>3.0600000000000005</v>
      </c>
      <c r="U29" s="5">
        <f t="shared" si="3"/>
        <v>0.23</v>
      </c>
      <c r="V29" s="5" t="b">
        <f t="shared" si="4"/>
        <v>0</v>
      </c>
    </row>
    <row r="30" spans="1:22" s="5" customFormat="1" x14ac:dyDescent="0.3">
      <c r="A30" s="5">
        <v>27</v>
      </c>
      <c r="B30" s="5" t="s">
        <v>28</v>
      </c>
      <c r="C30" s="5" t="s">
        <v>9</v>
      </c>
      <c r="D30" s="6">
        <v>43689</v>
      </c>
      <c r="E30" s="6">
        <v>43700</v>
      </c>
      <c r="F30" s="41">
        <f t="shared" si="2"/>
        <v>11</v>
      </c>
      <c r="G30" s="5" t="s">
        <v>19</v>
      </c>
      <c r="H30" s="5">
        <v>274</v>
      </c>
      <c r="I30" s="5">
        <v>271</v>
      </c>
      <c r="J30" s="5">
        <v>0.25</v>
      </c>
      <c r="K30" s="5">
        <f t="shared" si="10"/>
        <v>2.75</v>
      </c>
      <c r="L30" s="7">
        <v>0.94340000000000002</v>
      </c>
      <c r="M30" s="5">
        <v>4.41</v>
      </c>
      <c r="N30" s="5">
        <v>0</v>
      </c>
      <c r="O30" s="5">
        <f t="shared" ref="O30:O35" si="12">J30-N30</f>
        <v>0.25</v>
      </c>
      <c r="P30" s="7">
        <f t="shared" si="11"/>
        <v>9.0909090909090912E-2</v>
      </c>
      <c r="Q30" s="5" t="s">
        <v>107</v>
      </c>
      <c r="R30" s="5">
        <v>1</v>
      </c>
      <c r="T30" s="5">
        <f t="shared" si="5"/>
        <v>3.3100000000000005</v>
      </c>
      <c r="U30" s="5">
        <f t="shared" si="3"/>
        <v>0.25</v>
      </c>
      <c r="V30" s="5" t="b">
        <f t="shared" si="4"/>
        <v>0</v>
      </c>
    </row>
    <row r="31" spans="1:22" s="5" customFormat="1" x14ac:dyDescent="0.3">
      <c r="A31" s="5">
        <v>28</v>
      </c>
      <c r="B31" s="5" t="s">
        <v>100</v>
      </c>
      <c r="C31" s="5" t="s">
        <v>108</v>
      </c>
      <c r="D31" s="6">
        <v>43693</v>
      </c>
      <c r="E31" s="6">
        <v>43700</v>
      </c>
      <c r="F31" s="41">
        <f t="shared" si="2"/>
        <v>7</v>
      </c>
      <c r="G31" s="5" t="s">
        <v>19</v>
      </c>
      <c r="H31" s="5">
        <v>143</v>
      </c>
      <c r="I31" s="5">
        <v>139</v>
      </c>
      <c r="J31" s="5">
        <v>0.33</v>
      </c>
      <c r="K31" s="5">
        <f t="shared" si="10"/>
        <v>3.67</v>
      </c>
      <c r="L31" s="7">
        <v>0.85919999999999996</v>
      </c>
      <c r="M31" s="5">
        <v>1.81</v>
      </c>
      <c r="N31" s="5">
        <v>0</v>
      </c>
      <c r="O31" s="5">
        <f t="shared" si="12"/>
        <v>0.33</v>
      </c>
      <c r="P31" s="7">
        <f t="shared" si="11"/>
        <v>8.99182561307902E-2</v>
      </c>
      <c r="Q31" s="5" t="s">
        <v>109</v>
      </c>
      <c r="R31" s="5">
        <v>1</v>
      </c>
      <c r="T31" s="5">
        <f t="shared" si="5"/>
        <v>3.6400000000000006</v>
      </c>
      <c r="U31" s="5">
        <f t="shared" si="3"/>
        <v>0.33</v>
      </c>
      <c r="V31" s="5" t="b">
        <f t="shared" si="4"/>
        <v>0</v>
      </c>
    </row>
    <row r="32" spans="1:22" s="5" customFormat="1" x14ac:dyDescent="0.3">
      <c r="A32" s="5">
        <v>29</v>
      </c>
      <c r="B32" s="5" t="s">
        <v>56</v>
      </c>
      <c r="C32" s="5" t="s">
        <v>9</v>
      </c>
      <c r="D32" s="6">
        <v>43698</v>
      </c>
      <c r="E32" s="6">
        <v>43707</v>
      </c>
      <c r="F32" s="41">
        <f t="shared" si="2"/>
        <v>9</v>
      </c>
      <c r="G32" s="5" t="s">
        <v>19</v>
      </c>
      <c r="H32" s="5">
        <v>282</v>
      </c>
      <c r="I32" s="5">
        <v>279</v>
      </c>
      <c r="J32" s="5">
        <v>0.36</v>
      </c>
      <c r="K32" s="5">
        <f>H32-I32-J32</f>
        <v>2.64</v>
      </c>
      <c r="L32" s="7">
        <v>0.87129999999999996</v>
      </c>
      <c r="M32" s="5">
        <v>2.2200000000000002</v>
      </c>
      <c r="N32" s="5">
        <v>0</v>
      </c>
      <c r="O32" s="5">
        <f t="shared" si="12"/>
        <v>0.36</v>
      </c>
      <c r="P32" s="7">
        <f t="shared" si="11"/>
        <v>0.13636363636363635</v>
      </c>
      <c r="Q32" s="5" t="s">
        <v>110</v>
      </c>
      <c r="R32" s="5">
        <v>1</v>
      </c>
      <c r="T32" s="5">
        <f t="shared" si="5"/>
        <v>4.0000000000000009</v>
      </c>
      <c r="U32" s="5">
        <f t="shared" si="3"/>
        <v>0.36</v>
      </c>
      <c r="V32" s="5" t="b">
        <f t="shared" si="4"/>
        <v>0</v>
      </c>
    </row>
    <row r="33" spans="1:22" s="5" customFormat="1" x14ac:dyDescent="0.3">
      <c r="A33" s="5">
        <v>30</v>
      </c>
      <c r="B33" s="5" t="s">
        <v>100</v>
      </c>
      <c r="C33" s="5" t="s">
        <v>111</v>
      </c>
      <c r="D33" s="6">
        <v>43710</v>
      </c>
      <c r="E33" s="6">
        <v>43714</v>
      </c>
      <c r="F33" s="41">
        <f t="shared" si="2"/>
        <v>4</v>
      </c>
      <c r="G33" s="5" t="s">
        <v>19</v>
      </c>
      <c r="H33" s="5">
        <v>143.5</v>
      </c>
      <c r="I33" s="5">
        <v>140</v>
      </c>
      <c r="J33" s="5">
        <v>0.26</v>
      </c>
      <c r="K33" s="5">
        <f>H33-I33-J33</f>
        <v>3.24</v>
      </c>
      <c r="L33" s="7">
        <v>0.91810000000000003</v>
      </c>
      <c r="M33" s="5">
        <v>3.38</v>
      </c>
      <c r="N33" s="5">
        <v>0</v>
      </c>
      <c r="O33" s="5">
        <f t="shared" si="12"/>
        <v>0.26</v>
      </c>
      <c r="P33" s="7">
        <f t="shared" si="11"/>
        <v>8.0246913580246909E-2</v>
      </c>
      <c r="R33" s="5">
        <v>1</v>
      </c>
      <c r="T33" s="5">
        <f t="shared" si="5"/>
        <v>4.2600000000000007</v>
      </c>
      <c r="U33" s="5">
        <f t="shared" si="3"/>
        <v>0.26</v>
      </c>
      <c r="V33" s="5" t="b">
        <f t="shared" si="4"/>
        <v>0</v>
      </c>
    </row>
    <row r="34" spans="1:22" s="5" customFormat="1" x14ac:dyDescent="0.3">
      <c r="A34" s="5">
        <v>31</v>
      </c>
      <c r="B34" s="5" t="s">
        <v>28</v>
      </c>
      <c r="C34" s="5" t="s">
        <v>9</v>
      </c>
      <c r="D34" s="6">
        <v>43738</v>
      </c>
      <c r="E34" s="6">
        <v>43763</v>
      </c>
      <c r="F34" s="41">
        <f t="shared" si="2"/>
        <v>25</v>
      </c>
      <c r="G34" s="5" t="s">
        <v>19</v>
      </c>
      <c r="H34" s="5">
        <v>279</v>
      </c>
      <c r="I34" s="5">
        <v>276</v>
      </c>
      <c r="J34" s="5">
        <v>0.21</v>
      </c>
      <c r="K34" s="5">
        <f>H34-I34-J34</f>
        <v>2.79</v>
      </c>
      <c r="L34" s="44">
        <v>0.94950000000000001</v>
      </c>
      <c r="M34" s="5">
        <v>3.28</v>
      </c>
      <c r="N34" s="5">
        <v>0</v>
      </c>
      <c r="O34" s="5">
        <f t="shared" si="12"/>
        <v>0.21</v>
      </c>
      <c r="P34" s="38">
        <f>O34/K34</f>
        <v>7.5268817204301078E-2</v>
      </c>
      <c r="Q34" s="5" t="s">
        <v>115</v>
      </c>
      <c r="R34" s="5">
        <v>1</v>
      </c>
      <c r="T34" s="5">
        <f t="shared" si="5"/>
        <v>4.4700000000000006</v>
      </c>
      <c r="U34" s="5">
        <f t="shared" si="3"/>
        <v>0.21</v>
      </c>
      <c r="V34" s="5" t="b">
        <f t="shared" si="4"/>
        <v>0</v>
      </c>
    </row>
    <row r="35" spans="1:22" s="5" customFormat="1" x14ac:dyDescent="0.3">
      <c r="A35" s="5">
        <v>32</v>
      </c>
      <c r="B35" s="5" t="s">
        <v>24</v>
      </c>
      <c r="C35" s="5" t="s">
        <v>96</v>
      </c>
      <c r="D35" s="6">
        <v>43839</v>
      </c>
      <c r="E35" s="6">
        <v>43847</v>
      </c>
      <c r="F35" s="41">
        <f t="shared" si="2"/>
        <v>8</v>
      </c>
      <c r="G35" s="5" t="s">
        <v>20</v>
      </c>
      <c r="H35" s="5">
        <v>149</v>
      </c>
      <c r="I35" s="5">
        <v>152</v>
      </c>
      <c r="J35" s="5">
        <v>0.25</v>
      </c>
      <c r="K35" s="5">
        <f>ABS(I35-H35)-J35</f>
        <v>2.75</v>
      </c>
      <c r="L35" s="7">
        <v>0.89910000000000001</v>
      </c>
      <c r="M35" s="5">
        <v>2.63</v>
      </c>
      <c r="N35" s="5">
        <v>0</v>
      </c>
      <c r="O35" s="5">
        <f t="shared" si="12"/>
        <v>0.25</v>
      </c>
      <c r="P35" s="7">
        <f>O35/K35</f>
        <v>9.0909090909090912E-2</v>
      </c>
      <c r="Q35" s="7"/>
      <c r="R35" s="5">
        <v>1</v>
      </c>
      <c r="T35" s="5">
        <f t="shared" si="5"/>
        <v>4.7200000000000006</v>
      </c>
      <c r="U35" s="5">
        <f t="shared" si="3"/>
        <v>0.25</v>
      </c>
      <c r="V35" s="5" t="b">
        <f t="shared" si="4"/>
        <v>0</v>
      </c>
    </row>
    <row r="36" spans="1:22" s="5" customFormat="1" x14ac:dyDescent="0.3">
      <c r="A36" s="5">
        <v>33</v>
      </c>
      <c r="B36" s="5" t="s">
        <v>141</v>
      </c>
      <c r="C36" s="5" t="s">
        <v>23</v>
      </c>
      <c r="D36" s="6">
        <v>43887</v>
      </c>
      <c r="E36" s="6">
        <v>43896</v>
      </c>
      <c r="F36" s="41">
        <f t="shared" si="2"/>
        <v>9</v>
      </c>
      <c r="G36" s="5" t="s">
        <v>19</v>
      </c>
      <c r="H36" s="5">
        <v>203</v>
      </c>
      <c r="I36" s="5">
        <v>198</v>
      </c>
      <c r="J36" s="5">
        <v>1.1100000000000001</v>
      </c>
      <c r="K36" s="5">
        <f>H36-I36-J36</f>
        <v>3.8899999999999997</v>
      </c>
      <c r="L36" s="7">
        <v>0.93979999999999997</v>
      </c>
      <c r="M36" s="5">
        <v>6.75</v>
      </c>
      <c r="N36" s="5">
        <v>0</v>
      </c>
      <c r="O36" s="5">
        <v>1.1100000000000001</v>
      </c>
      <c r="P36" s="7">
        <f>J36/K36</f>
        <v>0.28534704370179953</v>
      </c>
      <c r="R36" s="5">
        <v>1</v>
      </c>
      <c r="T36" s="5">
        <f t="shared" ref="T36" si="13">IF(R36=1,T35+O36,T35-O36)</f>
        <v>5.830000000000001</v>
      </c>
      <c r="U36" s="5">
        <f t="shared" ref="U36" si="14">IF(R36=1,O36)</f>
        <v>1.1100000000000001</v>
      </c>
      <c r="V36" s="5" t="b">
        <f t="shared" ref="V36" si="15">IF(R36=0,O36)</f>
        <v>0</v>
      </c>
    </row>
    <row r="37" spans="1:22" s="5" customFormat="1" x14ac:dyDescent="0.3">
      <c r="A37" s="5">
        <v>34</v>
      </c>
      <c r="B37" s="5" t="s">
        <v>151</v>
      </c>
      <c r="C37" s="5" t="s">
        <v>9</v>
      </c>
      <c r="D37" s="6">
        <v>43907</v>
      </c>
      <c r="E37" s="6">
        <v>43910</v>
      </c>
      <c r="F37" s="5">
        <f t="shared" ref="F37:F68" si="16">E37-D37</f>
        <v>3</v>
      </c>
      <c r="G37" s="5" t="s">
        <v>20</v>
      </c>
      <c r="H37" s="5">
        <v>250</v>
      </c>
      <c r="I37" s="5">
        <v>260</v>
      </c>
      <c r="J37" s="5">
        <v>5.15</v>
      </c>
      <c r="K37" s="5">
        <f>ABS(I37-H37)-J37</f>
        <v>4.8499999999999996</v>
      </c>
      <c r="L37" s="7">
        <v>0.55969999999999998</v>
      </c>
      <c r="M37" s="5">
        <f>(J37*L37)+(-K37*(1-L37))</f>
        <v>0.74700000000000033</v>
      </c>
      <c r="N37" s="5">
        <v>0</v>
      </c>
      <c r="O37" s="41">
        <f t="shared" ref="O37:O50" si="17">J37-N37</f>
        <v>5.15</v>
      </c>
      <c r="P37" s="7">
        <f t="shared" ref="P37:P72" si="18">O37/K37</f>
        <v>1.061855670103093</v>
      </c>
      <c r="R37" s="5">
        <v>1</v>
      </c>
      <c r="T37" s="5">
        <f t="shared" ref="T37:T38" si="19">IF(R37=1,T36+O37,T36-O37)</f>
        <v>10.98</v>
      </c>
      <c r="U37" s="5">
        <f t="shared" ref="U37:U38" si="20">IF(R37=1,O37)</f>
        <v>5.15</v>
      </c>
      <c r="V37" s="5" t="b">
        <f t="shared" ref="V37:V38" si="21">IF(R37=0,O37)</f>
        <v>0</v>
      </c>
    </row>
    <row r="38" spans="1:22" s="5" customFormat="1" x14ac:dyDescent="0.3">
      <c r="A38" s="5">
        <v>35</v>
      </c>
      <c r="B38" s="5" t="s">
        <v>28</v>
      </c>
      <c r="C38" s="5" t="s">
        <v>9</v>
      </c>
      <c r="D38" s="6">
        <v>43914</v>
      </c>
      <c r="E38" s="6">
        <v>43917</v>
      </c>
      <c r="F38" s="5">
        <f t="shared" si="16"/>
        <v>3</v>
      </c>
      <c r="G38" s="5" t="s">
        <v>19</v>
      </c>
      <c r="H38" s="5">
        <v>218</v>
      </c>
      <c r="I38" s="5">
        <v>215</v>
      </c>
      <c r="J38" s="29">
        <v>0.3</v>
      </c>
      <c r="K38" s="29">
        <f>H38-I38-J38</f>
        <v>2.7</v>
      </c>
      <c r="L38" s="7">
        <v>0.98880000000000001</v>
      </c>
      <c r="M38" s="5">
        <f t="shared" ref="M38:M42" si="22">(J38*L38)+(-K38*(1-L38))</f>
        <v>0.26640000000000003</v>
      </c>
      <c r="N38" s="5">
        <v>0</v>
      </c>
      <c r="O38" s="41">
        <f t="shared" si="17"/>
        <v>0.3</v>
      </c>
      <c r="P38" s="7">
        <f t="shared" si="18"/>
        <v>0.1111111111111111</v>
      </c>
      <c r="R38" s="5">
        <v>1</v>
      </c>
      <c r="T38" s="5">
        <f t="shared" si="19"/>
        <v>11.280000000000001</v>
      </c>
      <c r="U38" s="5">
        <f t="shared" si="20"/>
        <v>0.3</v>
      </c>
      <c r="V38" s="5" t="b">
        <f t="shared" si="21"/>
        <v>0</v>
      </c>
    </row>
    <row r="39" spans="1:22" s="5" customFormat="1" x14ac:dyDescent="0.3">
      <c r="A39" s="5">
        <v>36</v>
      </c>
      <c r="B39" s="5" t="s">
        <v>28</v>
      </c>
      <c r="C39" s="5" t="s">
        <v>9</v>
      </c>
      <c r="D39" s="6">
        <v>43916</v>
      </c>
      <c r="E39" s="6">
        <v>43924</v>
      </c>
      <c r="F39" s="5">
        <f t="shared" si="16"/>
        <v>8</v>
      </c>
      <c r="G39" s="5" t="s">
        <v>19</v>
      </c>
      <c r="H39" s="5">
        <v>225</v>
      </c>
      <c r="I39" s="5">
        <v>222</v>
      </c>
      <c r="J39" s="29">
        <v>0.41</v>
      </c>
      <c r="K39" s="29">
        <f>H39-I39-J39</f>
        <v>2.59</v>
      </c>
      <c r="L39" s="7">
        <v>0.97219999999999995</v>
      </c>
      <c r="M39" s="5">
        <f t="shared" si="22"/>
        <v>0.32659999999999983</v>
      </c>
      <c r="N39" s="5">
        <v>0</v>
      </c>
      <c r="O39" s="41">
        <f t="shared" si="17"/>
        <v>0.41</v>
      </c>
      <c r="P39" s="7">
        <f t="shared" si="18"/>
        <v>0.15830115830115829</v>
      </c>
      <c r="R39" s="5">
        <v>1</v>
      </c>
      <c r="T39" s="5">
        <f t="shared" ref="T39:T41" si="23">IF(R39=1,T38+O39,T38-O39)</f>
        <v>11.690000000000001</v>
      </c>
      <c r="U39" s="5">
        <f t="shared" ref="U39:U41" si="24">IF(R39=1,O39)</f>
        <v>0.41</v>
      </c>
      <c r="V39" s="5" t="b">
        <f t="shared" ref="V39:V41" si="25">IF(R39=0,O39)</f>
        <v>0</v>
      </c>
    </row>
    <row r="40" spans="1:22" s="5" customFormat="1" x14ac:dyDescent="0.3">
      <c r="A40" s="5">
        <v>37</v>
      </c>
      <c r="B40" s="5" t="s">
        <v>98</v>
      </c>
      <c r="C40" s="5" t="s">
        <v>9</v>
      </c>
      <c r="D40" s="6">
        <v>43921</v>
      </c>
      <c r="E40" s="6">
        <v>43924</v>
      </c>
      <c r="F40" s="5">
        <f t="shared" si="16"/>
        <v>3</v>
      </c>
      <c r="G40" s="5" t="s">
        <v>19</v>
      </c>
      <c r="H40" s="5">
        <v>231</v>
      </c>
      <c r="I40" s="5">
        <v>228</v>
      </c>
      <c r="J40" s="29">
        <v>0.4</v>
      </c>
      <c r="K40" s="29">
        <f>H40-I40-J40</f>
        <v>2.6</v>
      </c>
      <c r="L40" s="7">
        <v>0.99609999999999999</v>
      </c>
      <c r="M40" s="5">
        <f t="shared" si="22"/>
        <v>0.38829999999999998</v>
      </c>
      <c r="N40" s="5">
        <v>0</v>
      </c>
      <c r="O40" s="41">
        <f t="shared" si="17"/>
        <v>0.4</v>
      </c>
      <c r="P40" s="7">
        <f t="shared" si="18"/>
        <v>0.15384615384615385</v>
      </c>
      <c r="R40" s="5">
        <v>1</v>
      </c>
      <c r="T40" s="5">
        <f t="shared" si="23"/>
        <v>12.090000000000002</v>
      </c>
      <c r="U40" s="5">
        <f t="shared" si="24"/>
        <v>0.4</v>
      </c>
      <c r="V40" s="5" t="b">
        <f t="shared" si="25"/>
        <v>0</v>
      </c>
    </row>
    <row r="41" spans="1:22" s="5" customFormat="1" x14ac:dyDescent="0.3">
      <c r="A41" s="5">
        <v>38</v>
      </c>
      <c r="B41" s="5" t="s">
        <v>98</v>
      </c>
      <c r="C41" s="5" t="s">
        <v>9</v>
      </c>
      <c r="D41" s="6">
        <v>43922</v>
      </c>
      <c r="E41" s="6">
        <v>43924</v>
      </c>
      <c r="F41" s="5">
        <f t="shared" si="16"/>
        <v>2</v>
      </c>
      <c r="G41" s="5" t="s">
        <v>19</v>
      </c>
      <c r="H41" s="5">
        <v>230</v>
      </c>
      <c r="I41" s="5">
        <v>227</v>
      </c>
      <c r="J41" s="29">
        <v>0.3</v>
      </c>
      <c r="K41" s="29">
        <f>H41-I41-J41</f>
        <v>2.7</v>
      </c>
      <c r="L41" s="7">
        <v>0.96220000000000006</v>
      </c>
      <c r="M41" s="5">
        <f t="shared" si="22"/>
        <v>0.18660000000000015</v>
      </c>
      <c r="N41" s="5">
        <v>0</v>
      </c>
      <c r="O41" s="41">
        <f t="shared" si="17"/>
        <v>0.3</v>
      </c>
      <c r="P41" s="7">
        <f t="shared" si="18"/>
        <v>0.1111111111111111</v>
      </c>
      <c r="R41" s="5">
        <v>1</v>
      </c>
      <c r="T41" s="5">
        <f t="shared" si="23"/>
        <v>12.390000000000002</v>
      </c>
      <c r="U41" s="5">
        <f t="shared" si="24"/>
        <v>0.3</v>
      </c>
      <c r="V41" s="5" t="b">
        <f t="shared" si="25"/>
        <v>0</v>
      </c>
    </row>
    <row r="42" spans="1:22" s="5" customFormat="1" x14ac:dyDescent="0.3">
      <c r="A42" s="5">
        <v>39</v>
      </c>
      <c r="B42" s="5" t="s">
        <v>28</v>
      </c>
      <c r="C42" s="5" t="s">
        <v>9</v>
      </c>
      <c r="D42" s="6">
        <v>43923</v>
      </c>
      <c r="E42" s="6">
        <v>43938</v>
      </c>
      <c r="F42" s="5">
        <f t="shared" si="16"/>
        <v>15</v>
      </c>
      <c r="G42" s="5" t="s">
        <v>19</v>
      </c>
      <c r="H42" s="5">
        <v>220</v>
      </c>
      <c r="I42" s="5">
        <v>217</v>
      </c>
      <c r="J42" s="29">
        <v>0.38</v>
      </c>
      <c r="K42" s="29">
        <f>H42-I42-J42</f>
        <v>2.62</v>
      </c>
      <c r="L42" s="7">
        <v>0.92920000000000003</v>
      </c>
      <c r="M42" s="5">
        <f t="shared" si="22"/>
        <v>0.16760000000000008</v>
      </c>
      <c r="N42" s="5">
        <v>0</v>
      </c>
      <c r="O42" s="41">
        <f t="shared" si="17"/>
        <v>0.38</v>
      </c>
      <c r="P42" s="7">
        <f t="shared" si="18"/>
        <v>0.14503816793893129</v>
      </c>
      <c r="R42" s="5">
        <v>1</v>
      </c>
      <c r="T42" s="5">
        <f t="shared" ref="T42:T44" si="26">IF(R42=1,T41+O42,T41-O42)</f>
        <v>12.770000000000003</v>
      </c>
      <c r="U42" s="5">
        <f t="shared" ref="U42:U44" si="27">IF(R42=1,O42)</f>
        <v>0.38</v>
      </c>
      <c r="V42" s="5" t="b">
        <f t="shared" ref="V42:V44" si="28">IF(R42=0,O42)</f>
        <v>0</v>
      </c>
    </row>
    <row r="43" spans="1:22" s="5" customFormat="1" x14ac:dyDescent="0.3">
      <c r="A43" s="5">
        <v>40</v>
      </c>
      <c r="B43" s="5" t="s">
        <v>28</v>
      </c>
      <c r="C43" s="5" t="s">
        <v>9</v>
      </c>
      <c r="D43" s="6">
        <v>43927</v>
      </c>
      <c r="E43" s="6">
        <v>43938</v>
      </c>
      <c r="F43" s="5">
        <f t="shared" si="16"/>
        <v>11</v>
      </c>
      <c r="G43" s="5" t="s">
        <v>19</v>
      </c>
      <c r="H43" s="5">
        <v>235</v>
      </c>
      <c r="I43" s="5">
        <v>232</v>
      </c>
      <c r="J43" s="29">
        <v>0.26</v>
      </c>
      <c r="K43" s="29">
        <v>2.74</v>
      </c>
      <c r="L43" s="7">
        <v>0.96660000000000001</v>
      </c>
      <c r="M43" s="5">
        <v>0.16</v>
      </c>
      <c r="N43" s="5">
        <v>0</v>
      </c>
      <c r="O43" s="41">
        <f t="shared" si="17"/>
        <v>0.26</v>
      </c>
      <c r="P43" s="7">
        <f t="shared" si="18"/>
        <v>9.4890510948905105E-2</v>
      </c>
      <c r="Q43" s="5" t="s">
        <v>152</v>
      </c>
      <c r="R43" s="5">
        <v>1</v>
      </c>
      <c r="T43" s="5">
        <f t="shared" si="26"/>
        <v>13.030000000000003</v>
      </c>
      <c r="U43" s="5">
        <f t="shared" si="27"/>
        <v>0.26</v>
      </c>
      <c r="V43" s="5" t="b">
        <f t="shared" si="28"/>
        <v>0</v>
      </c>
    </row>
    <row r="44" spans="1:22" s="5" customFormat="1" x14ac:dyDescent="0.3">
      <c r="A44" s="5">
        <v>41</v>
      </c>
      <c r="B44" s="5" t="s">
        <v>28</v>
      </c>
      <c r="C44" s="5" t="s">
        <v>111</v>
      </c>
      <c r="D44" s="6">
        <v>43930</v>
      </c>
      <c r="E44" s="6">
        <v>43938</v>
      </c>
      <c r="F44" s="5">
        <f t="shared" si="16"/>
        <v>8</v>
      </c>
      <c r="G44" s="5" t="s">
        <v>19</v>
      </c>
      <c r="H44" s="5">
        <v>110</v>
      </c>
      <c r="I44" s="5">
        <v>107</v>
      </c>
      <c r="J44" s="29">
        <v>0.32</v>
      </c>
      <c r="K44" s="29">
        <f>H44-I44-J44</f>
        <v>2.68</v>
      </c>
      <c r="L44" s="7">
        <v>0.94489999999999996</v>
      </c>
      <c r="M44" s="5">
        <f>(J44*L44)+(-K44*(1-L44))</f>
        <v>0.15469999999999987</v>
      </c>
      <c r="N44" s="5">
        <v>0</v>
      </c>
      <c r="O44" s="41">
        <f t="shared" si="17"/>
        <v>0.32</v>
      </c>
      <c r="P44" s="7">
        <f t="shared" si="18"/>
        <v>0.11940298507462686</v>
      </c>
      <c r="Q44" s="5" t="s">
        <v>154</v>
      </c>
      <c r="R44" s="5">
        <v>1</v>
      </c>
      <c r="T44" s="5">
        <f t="shared" si="26"/>
        <v>13.350000000000003</v>
      </c>
      <c r="U44" s="5">
        <f t="shared" si="27"/>
        <v>0.32</v>
      </c>
      <c r="V44" s="5" t="b">
        <f t="shared" si="28"/>
        <v>0</v>
      </c>
    </row>
    <row r="45" spans="1:22" s="5" customFormat="1" x14ac:dyDescent="0.3">
      <c r="A45" s="5">
        <v>42</v>
      </c>
      <c r="B45" s="5" t="s">
        <v>120</v>
      </c>
      <c r="C45" s="5" t="s">
        <v>155</v>
      </c>
      <c r="D45" s="6">
        <v>43934</v>
      </c>
      <c r="E45" s="6">
        <v>43945</v>
      </c>
      <c r="F45" s="5">
        <f t="shared" si="16"/>
        <v>11</v>
      </c>
      <c r="G45" s="5" t="s">
        <v>19</v>
      </c>
      <c r="H45" s="5">
        <v>21</v>
      </c>
      <c r="I45" s="5">
        <v>18</v>
      </c>
      <c r="J45" s="29">
        <v>0.4</v>
      </c>
      <c r="K45" s="29">
        <f>H45-I45-J45</f>
        <v>2.6</v>
      </c>
      <c r="L45" s="7">
        <v>0.97270000000000001</v>
      </c>
      <c r="M45" s="5">
        <f>(J45*L45)+(-K45*(1-L45))</f>
        <v>0.31810000000000005</v>
      </c>
      <c r="N45" s="5">
        <v>0</v>
      </c>
      <c r="O45" s="41">
        <f t="shared" si="17"/>
        <v>0.4</v>
      </c>
      <c r="P45" s="7">
        <f t="shared" si="18"/>
        <v>0.15384615384615385</v>
      </c>
      <c r="R45" s="5">
        <v>1</v>
      </c>
      <c r="T45" s="5">
        <f t="shared" ref="T45:T48" si="29">IF(R45=1,T44+O45,T44-O45)</f>
        <v>13.750000000000004</v>
      </c>
      <c r="U45" s="5">
        <f t="shared" ref="U45:U48" si="30">IF(R45=1,O45)</f>
        <v>0.4</v>
      </c>
      <c r="V45" s="5" t="b">
        <f t="shared" ref="V45:V48" si="31">IF(R45=0,O45)</f>
        <v>0</v>
      </c>
    </row>
    <row r="46" spans="1:22" s="5" customFormat="1" x14ac:dyDescent="0.3">
      <c r="A46" s="5">
        <v>43</v>
      </c>
      <c r="B46" s="5" t="s">
        <v>98</v>
      </c>
      <c r="C46" s="5" t="s">
        <v>111</v>
      </c>
      <c r="D46" s="6">
        <v>43935</v>
      </c>
      <c r="E46" s="6">
        <v>43938</v>
      </c>
      <c r="F46" s="5">
        <f t="shared" si="16"/>
        <v>3</v>
      </c>
      <c r="G46" s="5" t="s">
        <v>19</v>
      </c>
      <c r="H46" s="5">
        <v>113</v>
      </c>
      <c r="I46" s="5">
        <v>110</v>
      </c>
      <c r="J46" s="29">
        <v>0.5</v>
      </c>
      <c r="K46" s="29">
        <f>H46-I46-J46</f>
        <v>2.5</v>
      </c>
      <c r="L46" s="7">
        <v>0.97230000000000005</v>
      </c>
      <c r="M46" s="5">
        <f>(J46*L46)+(-K46*(1-L46))</f>
        <v>0.41690000000000016</v>
      </c>
      <c r="N46" s="5">
        <v>0</v>
      </c>
      <c r="O46" s="41">
        <f t="shared" si="17"/>
        <v>0.5</v>
      </c>
      <c r="P46" s="7">
        <f t="shared" si="18"/>
        <v>0.2</v>
      </c>
      <c r="Q46" s="5" t="s">
        <v>156</v>
      </c>
      <c r="R46" s="5">
        <v>1</v>
      </c>
      <c r="T46" s="5">
        <f t="shared" si="29"/>
        <v>14.250000000000004</v>
      </c>
      <c r="U46" s="5">
        <f t="shared" si="30"/>
        <v>0.5</v>
      </c>
      <c r="V46" s="5" t="b">
        <f t="shared" si="31"/>
        <v>0</v>
      </c>
    </row>
    <row r="47" spans="1:22" s="5" customFormat="1" x14ac:dyDescent="0.3">
      <c r="A47" s="5">
        <v>44</v>
      </c>
      <c r="B47" s="5" t="s">
        <v>28</v>
      </c>
      <c r="C47" s="5" t="s">
        <v>23</v>
      </c>
      <c r="D47" s="6">
        <v>43935</v>
      </c>
      <c r="E47" s="6">
        <v>43938</v>
      </c>
      <c r="F47" s="5">
        <f t="shared" si="16"/>
        <v>3</v>
      </c>
      <c r="G47" s="5" t="s">
        <v>19</v>
      </c>
      <c r="H47" s="5">
        <v>200</v>
      </c>
      <c r="I47" s="5">
        <v>197</v>
      </c>
      <c r="J47" s="29">
        <v>0.35</v>
      </c>
      <c r="K47" s="29">
        <f>H47-I47-J47</f>
        <v>2.65</v>
      </c>
      <c r="L47" s="7">
        <v>0.96779999999999999</v>
      </c>
      <c r="M47" s="5">
        <v>0.25</v>
      </c>
      <c r="N47" s="5">
        <v>0</v>
      </c>
      <c r="O47" s="41">
        <f t="shared" si="17"/>
        <v>0.35</v>
      </c>
      <c r="P47" s="7">
        <f t="shared" si="18"/>
        <v>0.13207547169811321</v>
      </c>
      <c r="Q47" s="5" t="s">
        <v>156</v>
      </c>
      <c r="R47" s="5">
        <v>1</v>
      </c>
      <c r="T47" s="5">
        <f t="shared" si="29"/>
        <v>14.600000000000003</v>
      </c>
      <c r="U47" s="5">
        <f t="shared" si="30"/>
        <v>0.35</v>
      </c>
      <c r="V47" s="5" t="b">
        <f t="shared" si="31"/>
        <v>0</v>
      </c>
    </row>
    <row r="48" spans="1:22" s="5" customFormat="1" x14ac:dyDescent="0.3">
      <c r="A48" s="5">
        <v>45</v>
      </c>
      <c r="B48" s="5" t="s">
        <v>98</v>
      </c>
      <c r="C48" s="5" t="s">
        <v>111</v>
      </c>
      <c r="D48" s="6">
        <v>43938</v>
      </c>
      <c r="E48" s="6">
        <v>43945</v>
      </c>
      <c r="F48" s="5">
        <f t="shared" si="16"/>
        <v>7</v>
      </c>
      <c r="G48" s="5" t="s">
        <v>19</v>
      </c>
      <c r="H48" s="5">
        <v>109</v>
      </c>
      <c r="I48" s="5">
        <v>107</v>
      </c>
      <c r="J48" s="29">
        <v>0.25</v>
      </c>
      <c r="K48" s="29">
        <f>H48-I48-J48</f>
        <v>1.75</v>
      </c>
      <c r="L48" s="7">
        <v>0.94599999999999995</v>
      </c>
      <c r="M48" s="5">
        <f>(J48*L48)+(-K48*(1-L48))</f>
        <v>0.1419999999999999</v>
      </c>
      <c r="N48" s="5">
        <v>0</v>
      </c>
      <c r="O48" s="41">
        <f t="shared" si="17"/>
        <v>0.25</v>
      </c>
      <c r="P48" s="7">
        <f t="shared" si="18"/>
        <v>0.14285714285714285</v>
      </c>
      <c r="Q48" s="5" t="s">
        <v>157</v>
      </c>
      <c r="R48" s="5">
        <v>1</v>
      </c>
      <c r="T48" s="5">
        <f t="shared" si="29"/>
        <v>14.850000000000003</v>
      </c>
      <c r="U48" s="5">
        <f t="shared" si="30"/>
        <v>0.25</v>
      </c>
      <c r="V48" s="5" t="b">
        <f t="shared" si="31"/>
        <v>0</v>
      </c>
    </row>
    <row r="49" spans="1:22" s="5" customFormat="1" x14ac:dyDescent="0.3">
      <c r="A49" s="5">
        <v>46</v>
      </c>
      <c r="B49" s="5" t="s">
        <v>28</v>
      </c>
      <c r="C49" s="5" t="s">
        <v>9</v>
      </c>
      <c r="D49" s="6">
        <v>43948</v>
      </c>
      <c r="E49" s="6">
        <v>43952</v>
      </c>
      <c r="F49" s="5">
        <f t="shared" si="16"/>
        <v>4</v>
      </c>
      <c r="G49" s="5" t="s">
        <v>19</v>
      </c>
      <c r="H49" s="5">
        <v>274</v>
      </c>
      <c r="I49" s="5">
        <v>271</v>
      </c>
      <c r="J49" s="5">
        <v>0.25</v>
      </c>
      <c r="K49" s="5">
        <v>2.75</v>
      </c>
      <c r="L49" s="38">
        <v>0.9496</v>
      </c>
      <c r="M49" s="5">
        <f>(J49*L49)+(-K49*(1-L49))</f>
        <v>9.8799999999999999E-2</v>
      </c>
      <c r="N49" s="5">
        <v>0</v>
      </c>
      <c r="O49" s="5">
        <f t="shared" si="17"/>
        <v>0.25</v>
      </c>
      <c r="P49" s="38">
        <f t="shared" si="18"/>
        <v>9.0909090909090912E-2</v>
      </c>
      <c r="Q49" s="5" t="s">
        <v>163</v>
      </c>
      <c r="R49" s="5">
        <v>1</v>
      </c>
      <c r="T49" s="5">
        <f t="shared" ref="T49:T63" si="32">IF(R49=1,T48+O49,T48-O49)</f>
        <v>15.100000000000003</v>
      </c>
      <c r="U49" s="5">
        <f t="shared" ref="U49:U65" si="33">IF(R49=1,O49)</f>
        <v>0.25</v>
      </c>
      <c r="V49" s="5" t="b">
        <f t="shared" ref="V49:V65" si="34">IF(R49=0,O49)</f>
        <v>0</v>
      </c>
    </row>
    <row r="50" spans="1:22" s="5" customFormat="1" x14ac:dyDescent="0.3">
      <c r="A50" s="5">
        <v>47</v>
      </c>
      <c r="B50" s="5" t="s">
        <v>98</v>
      </c>
      <c r="C50" s="5" t="s">
        <v>9</v>
      </c>
      <c r="D50" s="6">
        <v>43948</v>
      </c>
      <c r="E50" s="6">
        <v>43955</v>
      </c>
      <c r="F50" s="5">
        <f t="shared" si="16"/>
        <v>7</v>
      </c>
      <c r="G50" s="5" t="s">
        <v>19</v>
      </c>
      <c r="H50" s="5">
        <v>272</v>
      </c>
      <c r="I50" s="5">
        <v>269</v>
      </c>
      <c r="J50" s="5">
        <v>0.27</v>
      </c>
      <c r="K50" s="5">
        <f t="shared" ref="K50:K56" si="35">H50-I50-J50</f>
        <v>2.73</v>
      </c>
      <c r="L50" s="38">
        <v>0.92420000000000002</v>
      </c>
      <c r="M50" s="5">
        <v>0.36</v>
      </c>
      <c r="N50" s="5">
        <v>0</v>
      </c>
      <c r="O50" s="5">
        <f t="shared" si="17"/>
        <v>0.27</v>
      </c>
      <c r="P50" s="38">
        <f t="shared" si="18"/>
        <v>9.8901098901098911E-2</v>
      </c>
      <c r="R50" s="5">
        <v>1</v>
      </c>
      <c r="T50" s="5">
        <f t="shared" si="32"/>
        <v>15.370000000000003</v>
      </c>
      <c r="U50" s="5">
        <f t="shared" si="33"/>
        <v>0.27</v>
      </c>
      <c r="V50" s="5" t="b">
        <f t="shared" si="34"/>
        <v>0</v>
      </c>
    </row>
    <row r="51" spans="1:22" s="22" customFormat="1" x14ac:dyDescent="0.3">
      <c r="A51" s="48">
        <v>48</v>
      </c>
      <c r="B51" s="22" t="s">
        <v>98</v>
      </c>
      <c r="C51" s="22" t="s">
        <v>9</v>
      </c>
      <c r="D51" s="22">
        <v>43950</v>
      </c>
      <c r="E51" s="22">
        <v>43952</v>
      </c>
      <c r="F51" s="48">
        <f t="shared" si="16"/>
        <v>2</v>
      </c>
      <c r="G51" s="48" t="s">
        <v>19</v>
      </c>
      <c r="H51" s="48">
        <v>285</v>
      </c>
      <c r="I51" s="48">
        <v>283</v>
      </c>
      <c r="J51" s="48">
        <v>0.33</v>
      </c>
      <c r="K51" s="48">
        <f t="shared" si="35"/>
        <v>1.67</v>
      </c>
      <c r="L51" s="39">
        <v>0.93510000000000004</v>
      </c>
      <c r="M51" s="48">
        <f t="shared" ref="M51:M56" si="36">(J51*L51)+(-K51*(1-L51))</f>
        <v>0.20020000000000013</v>
      </c>
      <c r="N51" s="48">
        <v>2</v>
      </c>
      <c r="O51" s="48">
        <v>-1.67</v>
      </c>
      <c r="P51" s="39">
        <f t="shared" si="18"/>
        <v>-1</v>
      </c>
      <c r="R51" s="48">
        <v>0</v>
      </c>
      <c r="T51" s="48">
        <f>IF(R51=1,T50+O51,T50+O51)</f>
        <v>13.700000000000003</v>
      </c>
      <c r="U51" s="48" t="b">
        <f t="shared" si="33"/>
        <v>0</v>
      </c>
      <c r="V51" s="48">
        <f>IF(R51=0,O51)</f>
        <v>-1.67</v>
      </c>
    </row>
    <row r="52" spans="1:22" s="5" customFormat="1" x14ac:dyDescent="0.3">
      <c r="A52" s="5">
        <v>49</v>
      </c>
      <c r="B52" s="5" t="s">
        <v>164</v>
      </c>
      <c r="C52" s="5" t="s">
        <v>9</v>
      </c>
      <c r="D52" s="6">
        <v>43951</v>
      </c>
      <c r="E52" s="6">
        <v>43959</v>
      </c>
      <c r="F52" s="5">
        <f t="shared" si="16"/>
        <v>8</v>
      </c>
      <c r="G52" s="5" t="s">
        <v>19</v>
      </c>
      <c r="H52" s="5">
        <v>264</v>
      </c>
      <c r="I52" s="5">
        <v>261</v>
      </c>
      <c r="J52" s="5">
        <v>0.25</v>
      </c>
      <c r="K52" s="5">
        <f t="shared" si="35"/>
        <v>2.75</v>
      </c>
      <c r="L52" s="38">
        <v>0.96209999999999996</v>
      </c>
      <c r="M52" s="5">
        <f t="shared" si="36"/>
        <v>0.13629999999999987</v>
      </c>
      <c r="N52" s="5">
        <v>0</v>
      </c>
      <c r="O52" s="5">
        <f t="shared" ref="O52:O72" si="37">J52-N52</f>
        <v>0.25</v>
      </c>
      <c r="P52" s="38">
        <f t="shared" si="18"/>
        <v>9.0909090909090912E-2</v>
      </c>
      <c r="R52" s="5">
        <v>1</v>
      </c>
      <c r="T52" s="5">
        <f t="shared" si="32"/>
        <v>13.950000000000003</v>
      </c>
      <c r="U52" s="5">
        <f t="shared" si="33"/>
        <v>0.25</v>
      </c>
      <c r="V52" s="5" t="b">
        <f t="shared" si="34"/>
        <v>0</v>
      </c>
    </row>
    <row r="53" spans="1:22" s="5" customFormat="1" x14ac:dyDescent="0.3">
      <c r="A53" s="5">
        <v>50</v>
      </c>
      <c r="B53" s="5" t="s">
        <v>28</v>
      </c>
      <c r="C53" s="5" t="s">
        <v>111</v>
      </c>
      <c r="D53" s="6">
        <v>43952</v>
      </c>
      <c r="E53" s="6">
        <v>43959</v>
      </c>
      <c r="F53" s="5">
        <f t="shared" si="16"/>
        <v>7</v>
      </c>
      <c r="G53" s="5" t="s">
        <v>19</v>
      </c>
      <c r="H53" s="5">
        <v>113</v>
      </c>
      <c r="I53" s="5">
        <v>110</v>
      </c>
      <c r="J53" s="5">
        <v>0.31</v>
      </c>
      <c r="K53" s="5">
        <f t="shared" si="35"/>
        <v>2.69</v>
      </c>
      <c r="L53" s="38">
        <v>0.95420000000000005</v>
      </c>
      <c r="M53" s="5">
        <f t="shared" si="36"/>
        <v>0.17260000000000014</v>
      </c>
      <c r="N53" s="5">
        <v>0</v>
      </c>
      <c r="O53" s="5">
        <f t="shared" si="37"/>
        <v>0.31</v>
      </c>
      <c r="P53" s="38">
        <f t="shared" si="18"/>
        <v>0.11524163568773234</v>
      </c>
      <c r="Q53" s="5" t="s">
        <v>166</v>
      </c>
      <c r="R53" s="5">
        <v>1</v>
      </c>
      <c r="T53" s="5">
        <f t="shared" si="32"/>
        <v>14.260000000000003</v>
      </c>
      <c r="U53" s="5">
        <f t="shared" si="33"/>
        <v>0.31</v>
      </c>
      <c r="V53" s="5" t="b">
        <f t="shared" si="34"/>
        <v>0</v>
      </c>
    </row>
    <row r="54" spans="1:22" s="5" customFormat="1" x14ac:dyDescent="0.3">
      <c r="A54" s="5">
        <v>51</v>
      </c>
      <c r="B54" s="5" t="s">
        <v>168</v>
      </c>
      <c r="C54" s="5" t="s">
        <v>111</v>
      </c>
      <c r="D54" s="6">
        <v>43959</v>
      </c>
      <c r="E54" s="6">
        <v>43966</v>
      </c>
      <c r="F54" s="5">
        <f t="shared" si="16"/>
        <v>7</v>
      </c>
      <c r="G54" s="5" t="s">
        <v>19</v>
      </c>
      <c r="H54" s="5">
        <v>123</v>
      </c>
      <c r="I54" s="5">
        <v>120</v>
      </c>
      <c r="J54" s="5">
        <v>0.31</v>
      </c>
      <c r="K54" s="5">
        <f t="shared" si="35"/>
        <v>2.69</v>
      </c>
      <c r="L54" s="38">
        <v>0.91690000000000005</v>
      </c>
      <c r="M54" s="5">
        <f t="shared" si="36"/>
        <v>6.0700000000000143E-2</v>
      </c>
      <c r="N54" s="5">
        <v>0</v>
      </c>
      <c r="O54" s="5">
        <f t="shared" si="37"/>
        <v>0.31</v>
      </c>
      <c r="P54" s="38">
        <f t="shared" si="18"/>
        <v>0.11524163568773234</v>
      </c>
      <c r="Q54" s="5" t="s">
        <v>157</v>
      </c>
      <c r="R54" s="5">
        <v>1</v>
      </c>
      <c r="T54" s="5">
        <f t="shared" si="32"/>
        <v>14.570000000000004</v>
      </c>
      <c r="U54" s="5">
        <f t="shared" si="33"/>
        <v>0.31</v>
      </c>
      <c r="V54" s="5" t="b">
        <f t="shared" si="34"/>
        <v>0</v>
      </c>
    </row>
    <row r="55" spans="1:22" s="5" customFormat="1" x14ac:dyDescent="0.3">
      <c r="A55" s="5">
        <v>52</v>
      </c>
      <c r="B55" s="5" t="s">
        <v>169</v>
      </c>
      <c r="C55" s="5" t="s">
        <v>111</v>
      </c>
      <c r="D55" s="6">
        <v>43962</v>
      </c>
      <c r="E55" s="6">
        <v>43966</v>
      </c>
      <c r="F55" s="5">
        <f t="shared" si="16"/>
        <v>4</v>
      </c>
      <c r="G55" s="5" t="s">
        <v>19</v>
      </c>
      <c r="H55" s="5">
        <v>123</v>
      </c>
      <c r="I55" s="5">
        <v>120</v>
      </c>
      <c r="J55" s="5">
        <v>0.23</v>
      </c>
      <c r="K55" s="5">
        <f t="shared" si="35"/>
        <v>2.77</v>
      </c>
      <c r="L55" s="38">
        <v>0.95520000000000005</v>
      </c>
      <c r="M55" s="5">
        <f t="shared" si="36"/>
        <v>9.5600000000000171E-2</v>
      </c>
      <c r="N55" s="5">
        <v>0</v>
      </c>
      <c r="O55" s="5">
        <f t="shared" si="37"/>
        <v>0.23</v>
      </c>
      <c r="P55" s="38">
        <f t="shared" si="18"/>
        <v>8.3032490974729242E-2</v>
      </c>
      <c r="R55" s="5">
        <v>1</v>
      </c>
      <c r="T55" s="5">
        <f t="shared" si="32"/>
        <v>14.800000000000004</v>
      </c>
      <c r="U55" s="5">
        <f t="shared" si="33"/>
        <v>0.23</v>
      </c>
      <c r="V55" s="5" t="b">
        <f t="shared" si="34"/>
        <v>0</v>
      </c>
    </row>
    <row r="56" spans="1:22" s="5" customFormat="1" x14ac:dyDescent="0.3">
      <c r="A56" s="5">
        <v>53</v>
      </c>
      <c r="B56" s="5" t="s">
        <v>98</v>
      </c>
      <c r="C56" s="5" t="s">
        <v>9</v>
      </c>
      <c r="D56" s="6">
        <v>43964</v>
      </c>
      <c r="E56" s="6">
        <v>43966</v>
      </c>
      <c r="F56" s="5">
        <f t="shared" si="16"/>
        <v>2</v>
      </c>
      <c r="G56" s="5" t="s">
        <v>19</v>
      </c>
      <c r="H56" s="5">
        <v>271</v>
      </c>
      <c r="I56" s="5">
        <v>269</v>
      </c>
      <c r="J56" s="5">
        <v>0.33</v>
      </c>
      <c r="K56" s="5">
        <f t="shared" si="35"/>
        <v>1.67</v>
      </c>
      <c r="L56" s="38">
        <v>0.95509999999999995</v>
      </c>
      <c r="M56" s="5">
        <f t="shared" si="36"/>
        <v>0.24019999999999991</v>
      </c>
      <c r="N56" s="5">
        <v>0</v>
      </c>
      <c r="O56" s="5">
        <f t="shared" si="37"/>
        <v>0.33</v>
      </c>
      <c r="P56" s="38">
        <f t="shared" si="18"/>
        <v>0.19760479041916171</v>
      </c>
      <c r="R56" s="5">
        <v>1</v>
      </c>
      <c r="T56" s="5">
        <f t="shared" si="32"/>
        <v>15.130000000000004</v>
      </c>
      <c r="U56" s="5">
        <f t="shared" si="33"/>
        <v>0.33</v>
      </c>
      <c r="V56" s="5" t="b">
        <f t="shared" si="34"/>
        <v>0</v>
      </c>
    </row>
    <row r="57" spans="1:22" s="5" customFormat="1" x14ac:dyDescent="0.3">
      <c r="A57" s="5">
        <v>54</v>
      </c>
      <c r="B57" s="5" t="s">
        <v>169</v>
      </c>
      <c r="C57" s="5" t="s">
        <v>9</v>
      </c>
      <c r="D57" s="6">
        <v>43965</v>
      </c>
      <c r="E57" s="6">
        <v>43971</v>
      </c>
      <c r="F57" s="5">
        <f t="shared" si="16"/>
        <v>6</v>
      </c>
      <c r="G57" s="5" t="s">
        <v>19</v>
      </c>
      <c r="H57" s="5">
        <v>268</v>
      </c>
      <c r="I57" s="5">
        <v>265</v>
      </c>
      <c r="J57" s="5">
        <v>0.3</v>
      </c>
      <c r="K57" s="5">
        <f t="shared" ref="K57:K62" si="38">H57-I57-J57</f>
        <v>2.7</v>
      </c>
      <c r="L57" s="38">
        <v>0.95450000000000002</v>
      </c>
      <c r="M57" s="5">
        <f t="shared" ref="M57:M62" si="39">(J57*L57)+(-K57*(1-L57))</f>
        <v>0.16350000000000003</v>
      </c>
      <c r="N57" s="5">
        <v>0</v>
      </c>
      <c r="O57" s="5">
        <f t="shared" si="37"/>
        <v>0.3</v>
      </c>
      <c r="P57" s="38">
        <f t="shared" si="18"/>
        <v>0.1111111111111111</v>
      </c>
      <c r="Q57" s="5" t="s">
        <v>163</v>
      </c>
      <c r="R57" s="5">
        <v>1</v>
      </c>
      <c r="T57" s="5">
        <f t="shared" si="32"/>
        <v>15.430000000000005</v>
      </c>
      <c r="U57" s="5">
        <f t="shared" si="33"/>
        <v>0.3</v>
      </c>
      <c r="V57" s="5" t="b">
        <f t="shared" si="34"/>
        <v>0</v>
      </c>
    </row>
    <row r="58" spans="1:22" s="5" customFormat="1" x14ac:dyDescent="0.3">
      <c r="A58" s="5">
        <v>55</v>
      </c>
      <c r="B58" s="5" t="s">
        <v>168</v>
      </c>
      <c r="C58" s="5" t="s">
        <v>9</v>
      </c>
      <c r="D58" s="6">
        <v>43972</v>
      </c>
      <c r="E58" s="6">
        <v>43978</v>
      </c>
      <c r="F58" s="5">
        <f t="shared" si="16"/>
        <v>6</v>
      </c>
      <c r="G58" s="5" t="s">
        <v>19</v>
      </c>
      <c r="H58" s="5">
        <v>283</v>
      </c>
      <c r="I58" s="5">
        <v>280</v>
      </c>
      <c r="J58" s="5">
        <v>0.23</v>
      </c>
      <c r="K58" s="5">
        <f t="shared" si="38"/>
        <v>2.77</v>
      </c>
      <c r="L58" s="38">
        <v>0.93279999999999996</v>
      </c>
      <c r="M58" s="5">
        <f t="shared" si="39"/>
        <v>2.8399999999999898E-2</v>
      </c>
      <c r="N58" s="5">
        <v>0</v>
      </c>
      <c r="O58" s="5">
        <f t="shared" si="37"/>
        <v>0.23</v>
      </c>
      <c r="P58" s="38">
        <f t="shared" si="18"/>
        <v>8.3032490974729242E-2</v>
      </c>
      <c r="Q58" s="5" t="s">
        <v>171</v>
      </c>
      <c r="R58" s="5">
        <v>1</v>
      </c>
      <c r="T58" s="5">
        <f t="shared" si="32"/>
        <v>15.660000000000005</v>
      </c>
      <c r="U58" s="5">
        <f t="shared" si="33"/>
        <v>0.23</v>
      </c>
      <c r="V58" s="5" t="b">
        <f t="shared" si="34"/>
        <v>0</v>
      </c>
    </row>
    <row r="59" spans="1:22" s="5" customFormat="1" x14ac:dyDescent="0.3">
      <c r="A59" s="5">
        <v>56</v>
      </c>
      <c r="B59" s="5" t="s">
        <v>168</v>
      </c>
      <c r="C59" s="5" t="s">
        <v>23</v>
      </c>
      <c r="D59" s="6">
        <v>43977</v>
      </c>
      <c r="E59" s="6">
        <v>43980</v>
      </c>
      <c r="F59" s="5">
        <f t="shared" si="16"/>
        <v>3</v>
      </c>
      <c r="G59" s="5" t="s">
        <v>19</v>
      </c>
      <c r="H59" s="5">
        <v>222</v>
      </c>
      <c r="I59" s="5">
        <v>218</v>
      </c>
      <c r="J59" s="5">
        <v>0.4</v>
      </c>
      <c r="K59" s="5">
        <f t="shared" si="38"/>
        <v>3.6</v>
      </c>
      <c r="L59" s="38">
        <v>0.91700000000000004</v>
      </c>
      <c r="M59" s="5">
        <f t="shared" si="39"/>
        <v>6.8000000000000116E-2</v>
      </c>
      <c r="N59" s="5">
        <v>0</v>
      </c>
      <c r="O59" s="5">
        <f t="shared" si="37"/>
        <v>0.4</v>
      </c>
      <c r="P59" s="38">
        <f t="shared" si="18"/>
        <v>0.11111111111111112</v>
      </c>
      <c r="Q59" s="5" t="s">
        <v>172</v>
      </c>
      <c r="R59" s="5">
        <v>1</v>
      </c>
      <c r="T59" s="5">
        <f t="shared" si="32"/>
        <v>16.060000000000006</v>
      </c>
      <c r="U59" s="5">
        <f t="shared" si="33"/>
        <v>0.4</v>
      </c>
      <c r="V59" s="5" t="b">
        <f t="shared" si="34"/>
        <v>0</v>
      </c>
    </row>
    <row r="60" spans="1:22" s="5" customFormat="1" x14ac:dyDescent="0.3">
      <c r="A60" s="5">
        <v>57</v>
      </c>
      <c r="B60" s="5" t="s">
        <v>168</v>
      </c>
      <c r="C60" s="5" t="s">
        <v>111</v>
      </c>
      <c r="D60" s="6">
        <v>43978</v>
      </c>
      <c r="E60" s="6">
        <v>43987</v>
      </c>
      <c r="F60" s="5">
        <f t="shared" si="16"/>
        <v>9</v>
      </c>
      <c r="G60" s="5" t="s">
        <v>19</v>
      </c>
      <c r="H60" s="5">
        <v>132</v>
      </c>
      <c r="I60" s="5">
        <v>129</v>
      </c>
      <c r="J60" s="5">
        <v>0.32</v>
      </c>
      <c r="K60" s="5">
        <f t="shared" si="38"/>
        <v>2.68</v>
      </c>
      <c r="L60" s="38">
        <v>0.93989999999999996</v>
      </c>
      <c r="M60" s="5">
        <f t="shared" si="39"/>
        <v>0.13969999999999985</v>
      </c>
      <c r="N60" s="5">
        <v>0</v>
      </c>
      <c r="O60" s="5">
        <f t="shared" si="37"/>
        <v>0.32</v>
      </c>
      <c r="P60" s="38">
        <f t="shared" si="18"/>
        <v>0.11940298507462686</v>
      </c>
      <c r="Q60" s="5" t="s">
        <v>173</v>
      </c>
      <c r="R60" s="5">
        <v>1</v>
      </c>
      <c r="T60" s="5">
        <f t="shared" si="32"/>
        <v>16.380000000000006</v>
      </c>
      <c r="U60" s="5">
        <f t="shared" si="33"/>
        <v>0.32</v>
      </c>
      <c r="V60" s="5" t="b">
        <f t="shared" si="34"/>
        <v>0</v>
      </c>
    </row>
    <row r="61" spans="1:22" s="5" customFormat="1" x14ac:dyDescent="0.3">
      <c r="A61" s="5">
        <v>58</v>
      </c>
      <c r="B61" s="5" t="s">
        <v>168</v>
      </c>
      <c r="C61" s="5" t="s">
        <v>9</v>
      </c>
      <c r="D61" s="6">
        <v>43979</v>
      </c>
      <c r="E61" s="6">
        <v>43985</v>
      </c>
      <c r="F61" s="5">
        <f t="shared" si="16"/>
        <v>6</v>
      </c>
      <c r="G61" s="5" t="s">
        <v>19</v>
      </c>
      <c r="H61" s="5">
        <v>292</v>
      </c>
      <c r="I61" s="5">
        <v>289</v>
      </c>
      <c r="J61" s="5">
        <v>0.31</v>
      </c>
      <c r="K61" s="5">
        <f t="shared" si="38"/>
        <v>2.69</v>
      </c>
      <c r="L61" s="38">
        <v>0.89700000000000002</v>
      </c>
      <c r="M61" s="5">
        <f t="shared" si="39"/>
        <v>1.0000000000000564E-3</v>
      </c>
      <c r="N61" s="5">
        <v>0</v>
      </c>
      <c r="O61" s="5">
        <f t="shared" si="37"/>
        <v>0.31</v>
      </c>
      <c r="P61" s="38">
        <f t="shared" si="18"/>
        <v>0.11524163568773234</v>
      </c>
      <c r="Q61" s="5" t="s">
        <v>174</v>
      </c>
      <c r="R61" s="5">
        <v>1</v>
      </c>
      <c r="T61" s="5">
        <f t="shared" si="32"/>
        <v>16.690000000000005</v>
      </c>
      <c r="U61" s="5">
        <f t="shared" si="33"/>
        <v>0.31</v>
      </c>
      <c r="V61" s="5" t="b">
        <f t="shared" si="34"/>
        <v>0</v>
      </c>
    </row>
    <row r="62" spans="1:22" s="5" customFormat="1" x14ac:dyDescent="0.3">
      <c r="A62" s="5">
        <v>59</v>
      </c>
      <c r="B62" s="5" t="s">
        <v>169</v>
      </c>
      <c r="C62" s="5" t="s">
        <v>9</v>
      </c>
      <c r="D62" s="6">
        <v>43980</v>
      </c>
      <c r="E62" s="6">
        <v>43985</v>
      </c>
      <c r="F62" s="5">
        <f t="shared" si="16"/>
        <v>5</v>
      </c>
      <c r="G62" s="5" t="s">
        <v>19</v>
      </c>
      <c r="H62" s="5">
        <v>294</v>
      </c>
      <c r="I62" s="5">
        <v>291</v>
      </c>
      <c r="J62" s="5">
        <v>0.26</v>
      </c>
      <c r="K62" s="5">
        <f t="shared" si="38"/>
        <v>2.74</v>
      </c>
      <c r="L62" s="38">
        <v>0.91390000000000005</v>
      </c>
      <c r="M62" s="5">
        <f t="shared" si="39"/>
        <v>1.7000000000001181E-3</v>
      </c>
      <c r="N62" s="5">
        <v>0</v>
      </c>
      <c r="O62" s="5">
        <f t="shared" si="37"/>
        <v>0.26</v>
      </c>
      <c r="P62" s="38">
        <f t="shared" si="18"/>
        <v>9.4890510948905105E-2</v>
      </c>
      <c r="Q62" s="5" t="s">
        <v>175</v>
      </c>
      <c r="R62" s="5">
        <v>1</v>
      </c>
      <c r="T62" s="5">
        <f t="shared" si="32"/>
        <v>16.950000000000006</v>
      </c>
      <c r="U62" s="5">
        <f t="shared" si="33"/>
        <v>0.26</v>
      </c>
      <c r="V62" s="5" t="b">
        <f t="shared" si="34"/>
        <v>0</v>
      </c>
    </row>
    <row r="63" spans="1:22" s="5" customFormat="1" x14ac:dyDescent="0.3">
      <c r="A63" s="5">
        <v>60</v>
      </c>
      <c r="B63" s="5" t="s">
        <v>169</v>
      </c>
      <c r="C63" s="5" t="s">
        <v>111</v>
      </c>
      <c r="D63" s="6">
        <v>43985</v>
      </c>
      <c r="E63" s="6">
        <v>43994</v>
      </c>
      <c r="F63" s="5">
        <f t="shared" si="16"/>
        <v>9</v>
      </c>
      <c r="G63" s="5" t="s">
        <v>19</v>
      </c>
      <c r="H63" s="5">
        <v>132</v>
      </c>
      <c r="I63" s="5">
        <v>129</v>
      </c>
      <c r="J63" s="5">
        <v>0.26</v>
      </c>
      <c r="K63" s="5">
        <f t="shared" ref="K63:K68" si="40">H63-I63-J63</f>
        <v>2.74</v>
      </c>
      <c r="L63" s="38">
        <v>0.95820000000000005</v>
      </c>
      <c r="M63" s="5">
        <f t="shared" ref="M63:M68" si="41">(J63*L63)+(-K63*(1-L63))</f>
        <v>0.13460000000000016</v>
      </c>
      <c r="N63" s="5">
        <v>0</v>
      </c>
      <c r="O63" s="5">
        <f t="shared" si="37"/>
        <v>0.26</v>
      </c>
      <c r="P63" s="38">
        <f t="shared" si="18"/>
        <v>9.4890510948905105E-2</v>
      </c>
      <c r="Q63" s="5" t="s">
        <v>180</v>
      </c>
      <c r="R63" s="5">
        <v>1</v>
      </c>
      <c r="T63" s="5">
        <f t="shared" si="32"/>
        <v>17.210000000000008</v>
      </c>
      <c r="U63" s="5">
        <f t="shared" si="33"/>
        <v>0.26</v>
      </c>
      <c r="V63" s="5" t="b">
        <f t="shared" si="34"/>
        <v>0</v>
      </c>
    </row>
    <row r="64" spans="1:22" s="22" customFormat="1" x14ac:dyDescent="0.3">
      <c r="A64" s="48">
        <v>61</v>
      </c>
      <c r="B64" s="22" t="s">
        <v>168</v>
      </c>
      <c r="C64" s="22" t="s">
        <v>111</v>
      </c>
      <c r="D64" s="22">
        <v>43990</v>
      </c>
      <c r="E64" s="22">
        <v>43994</v>
      </c>
      <c r="F64" s="48">
        <f t="shared" si="16"/>
        <v>4</v>
      </c>
      <c r="G64" s="48" t="s">
        <v>19</v>
      </c>
      <c r="H64" s="48">
        <v>142</v>
      </c>
      <c r="I64" s="48">
        <v>139</v>
      </c>
      <c r="J64" s="48">
        <v>0.38</v>
      </c>
      <c r="K64" s="48">
        <f t="shared" si="40"/>
        <v>2.62</v>
      </c>
      <c r="L64" s="39">
        <v>0.98240000000000005</v>
      </c>
      <c r="M64" s="48">
        <f t="shared" si="41"/>
        <v>0.32720000000000016</v>
      </c>
      <c r="N64" s="48">
        <v>3</v>
      </c>
      <c r="O64" s="48">
        <f t="shared" si="37"/>
        <v>-2.62</v>
      </c>
      <c r="P64" s="39">
        <f t="shared" si="18"/>
        <v>-1</v>
      </c>
      <c r="Q64" s="22" t="s">
        <v>181</v>
      </c>
      <c r="R64" s="48">
        <v>0</v>
      </c>
      <c r="T64" s="48">
        <f>IF(R64=1,T63+O64,T63+O64)</f>
        <v>14.590000000000007</v>
      </c>
      <c r="U64" s="48" t="b">
        <f t="shared" si="33"/>
        <v>0</v>
      </c>
      <c r="V64" s="48">
        <f t="shared" si="34"/>
        <v>-2.62</v>
      </c>
    </row>
    <row r="65" spans="1:22" s="22" customFormat="1" x14ac:dyDescent="0.3">
      <c r="A65" s="48">
        <v>62</v>
      </c>
      <c r="B65" s="22" t="s">
        <v>169</v>
      </c>
      <c r="C65" s="22" t="s">
        <v>9</v>
      </c>
      <c r="D65" s="22">
        <v>43991</v>
      </c>
      <c r="E65" s="22">
        <v>43994</v>
      </c>
      <c r="F65" s="48">
        <f t="shared" si="16"/>
        <v>3</v>
      </c>
      <c r="G65" s="48" t="s">
        <v>19</v>
      </c>
      <c r="H65" s="48">
        <v>309</v>
      </c>
      <c r="I65" s="48">
        <v>306</v>
      </c>
      <c r="J65" s="48">
        <v>0.25</v>
      </c>
      <c r="K65" s="48">
        <f t="shared" si="40"/>
        <v>2.75</v>
      </c>
      <c r="L65" s="39">
        <v>0.96809999999999996</v>
      </c>
      <c r="M65" s="48">
        <f t="shared" si="41"/>
        <v>0.15429999999999988</v>
      </c>
      <c r="N65" s="48">
        <v>3</v>
      </c>
      <c r="O65" s="48">
        <f t="shared" si="37"/>
        <v>-2.75</v>
      </c>
      <c r="P65" s="39">
        <f t="shared" si="18"/>
        <v>-1</v>
      </c>
      <c r="Q65" s="22" t="s">
        <v>184</v>
      </c>
      <c r="R65" s="48">
        <v>0</v>
      </c>
      <c r="T65" s="48">
        <f>IF(R65=1,T64+O65,T64+O65)</f>
        <v>11.840000000000007</v>
      </c>
      <c r="U65" s="48" t="b">
        <f t="shared" si="33"/>
        <v>0</v>
      </c>
      <c r="V65" s="48">
        <f t="shared" si="34"/>
        <v>-2.75</v>
      </c>
    </row>
    <row r="66" spans="1:22" s="5" customFormat="1" x14ac:dyDescent="0.3">
      <c r="A66" s="5">
        <v>63</v>
      </c>
      <c r="B66" s="5" t="s">
        <v>169</v>
      </c>
      <c r="C66" s="5" t="s">
        <v>9</v>
      </c>
      <c r="D66" s="6">
        <v>43999</v>
      </c>
      <c r="E66" s="6">
        <v>44001</v>
      </c>
      <c r="F66" s="5">
        <f t="shared" si="16"/>
        <v>2</v>
      </c>
      <c r="G66" s="5" t="s">
        <v>19</v>
      </c>
      <c r="H66" s="5">
        <v>299</v>
      </c>
      <c r="I66" s="5">
        <v>296</v>
      </c>
      <c r="J66" s="5">
        <v>0.23</v>
      </c>
      <c r="K66" s="5">
        <f t="shared" si="40"/>
        <v>2.77</v>
      </c>
      <c r="L66" s="38">
        <v>0.98009999999999997</v>
      </c>
      <c r="M66" s="5">
        <f t="shared" si="41"/>
        <v>0.17029999999999992</v>
      </c>
      <c r="N66" s="5">
        <v>0</v>
      </c>
      <c r="O66" s="5">
        <f t="shared" si="37"/>
        <v>0.23</v>
      </c>
      <c r="P66" s="38">
        <f t="shared" si="18"/>
        <v>8.3032490974729242E-2</v>
      </c>
      <c r="Q66" s="5" t="s">
        <v>186</v>
      </c>
      <c r="R66" s="5">
        <v>1</v>
      </c>
      <c r="T66" s="5">
        <f t="shared" ref="T66" si="42">IF(R66=1,T65+O66,T65-O66)</f>
        <v>12.070000000000007</v>
      </c>
      <c r="U66" s="5">
        <f t="shared" ref="U66" si="43">IF(R66=1,O66)</f>
        <v>0.23</v>
      </c>
      <c r="V66" s="5" t="b">
        <f t="shared" ref="V66" si="44">IF(R66=0,O66)</f>
        <v>0</v>
      </c>
    </row>
    <row r="67" spans="1:22" s="5" customFormat="1" x14ac:dyDescent="0.3">
      <c r="A67" s="5">
        <v>64</v>
      </c>
      <c r="B67" s="5" t="s">
        <v>187</v>
      </c>
      <c r="C67" s="5" t="s">
        <v>9</v>
      </c>
      <c r="D67" s="6">
        <v>44000</v>
      </c>
      <c r="E67" s="6">
        <v>44008</v>
      </c>
      <c r="F67" s="5">
        <f t="shared" si="16"/>
        <v>8</v>
      </c>
      <c r="G67" s="5" t="s">
        <v>19</v>
      </c>
      <c r="H67" s="5">
        <v>293</v>
      </c>
      <c r="I67" s="5">
        <v>290</v>
      </c>
      <c r="J67" s="5">
        <v>0.33</v>
      </c>
      <c r="K67" s="5">
        <f t="shared" si="40"/>
        <v>2.67</v>
      </c>
      <c r="L67" s="38">
        <v>0.94520000000000004</v>
      </c>
      <c r="M67" s="5">
        <f t="shared" si="41"/>
        <v>0.16560000000000014</v>
      </c>
      <c r="N67" s="5">
        <v>0</v>
      </c>
      <c r="O67" s="5">
        <f t="shared" si="37"/>
        <v>0.33</v>
      </c>
      <c r="P67" s="38">
        <f t="shared" si="18"/>
        <v>0.12359550561797754</v>
      </c>
      <c r="R67" s="5">
        <v>1</v>
      </c>
      <c r="T67" s="5">
        <f t="shared" ref="T67:T74" si="45">IF(R67=1,T66+O67,T66-O67)</f>
        <v>12.400000000000007</v>
      </c>
      <c r="U67" s="5">
        <f t="shared" ref="U67:U74" si="46">IF(R67=1,O67)</f>
        <v>0.33</v>
      </c>
      <c r="V67" s="5" t="b">
        <f t="shared" ref="V67:V74" si="47">IF(R67=0,O67)</f>
        <v>0</v>
      </c>
    </row>
    <row r="68" spans="1:22" s="5" customFormat="1" x14ac:dyDescent="0.3">
      <c r="A68" s="5">
        <v>65</v>
      </c>
      <c r="B68" s="5" t="s">
        <v>168</v>
      </c>
      <c r="C68" s="5" t="s">
        <v>111</v>
      </c>
      <c r="D68" s="6">
        <v>44001</v>
      </c>
      <c r="E68" s="6">
        <v>44008</v>
      </c>
      <c r="F68" s="5">
        <f t="shared" si="16"/>
        <v>7</v>
      </c>
      <c r="G68" s="5" t="s">
        <v>19</v>
      </c>
      <c r="H68" s="5">
        <v>129.5</v>
      </c>
      <c r="I68" s="5">
        <v>126.5</v>
      </c>
      <c r="J68" s="5">
        <v>0.36</v>
      </c>
      <c r="K68" s="5">
        <f t="shared" si="40"/>
        <v>2.64</v>
      </c>
      <c r="L68" s="38">
        <v>0.92800000000000005</v>
      </c>
      <c r="M68" s="5">
        <f t="shared" si="41"/>
        <v>0.1440000000000001</v>
      </c>
      <c r="N68" s="5">
        <v>0</v>
      </c>
      <c r="O68" s="5">
        <f t="shared" si="37"/>
        <v>0.36</v>
      </c>
      <c r="P68" s="38">
        <f t="shared" si="18"/>
        <v>0.13636363636363635</v>
      </c>
      <c r="Q68" s="5" t="s">
        <v>188</v>
      </c>
      <c r="R68" s="5">
        <v>1</v>
      </c>
      <c r="T68" s="5">
        <f t="shared" si="45"/>
        <v>12.760000000000007</v>
      </c>
      <c r="U68" s="5">
        <f t="shared" si="46"/>
        <v>0.36</v>
      </c>
      <c r="V68" s="5" t="b">
        <f t="shared" si="47"/>
        <v>0</v>
      </c>
    </row>
    <row r="69" spans="1:22" s="5" customFormat="1" x14ac:dyDescent="0.3">
      <c r="A69" s="5">
        <v>65</v>
      </c>
      <c r="B69" s="5" t="s">
        <v>187</v>
      </c>
      <c r="C69" s="5" t="s">
        <v>9</v>
      </c>
      <c r="D69" s="6">
        <v>44006</v>
      </c>
      <c r="E69" s="6">
        <v>44008</v>
      </c>
      <c r="F69" s="5">
        <f t="shared" ref="F69:F74" si="48">E69-D69</f>
        <v>2</v>
      </c>
      <c r="G69" s="5" t="s">
        <v>19</v>
      </c>
      <c r="H69" s="5">
        <v>290</v>
      </c>
      <c r="I69" s="5">
        <v>287</v>
      </c>
      <c r="J69" s="5">
        <v>0.25</v>
      </c>
      <c r="K69" s="5">
        <f t="shared" ref="K69" si="49">H69-I69-J69</f>
        <v>2.75</v>
      </c>
      <c r="L69" s="38">
        <v>0.99919999999999998</v>
      </c>
      <c r="M69" s="5">
        <f t="shared" ref="M69" si="50">(J69*L69)+(-K69*(1-L69))</f>
        <v>0.24759999999999993</v>
      </c>
      <c r="N69" s="5">
        <v>0</v>
      </c>
      <c r="O69" s="5">
        <f t="shared" si="37"/>
        <v>0.25</v>
      </c>
      <c r="P69" s="38">
        <f t="shared" si="18"/>
        <v>9.0909090909090912E-2</v>
      </c>
      <c r="Q69" s="5" t="s">
        <v>188</v>
      </c>
      <c r="R69" s="5">
        <v>1</v>
      </c>
      <c r="T69" s="5">
        <f t="shared" si="45"/>
        <v>13.010000000000007</v>
      </c>
      <c r="U69" s="5">
        <f t="shared" si="46"/>
        <v>0.25</v>
      </c>
      <c r="V69" s="5" t="b">
        <f t="shared" si="47"/>
        <v>0</v>
      </c>
    </row>
    <row r="70" spans="1:22" s="5" customFormat="1" x14ac:dyDescent="0.3">
      <c r="A70" s="5">
        <v>66</v>
      </c>
      <c r="B70" s="5" t="s">
        <v>24</v>
      </c>
      <c r="C70" s="5" t="s">
        <v>111</v>
      </c>
      <c r="D70" s="6">
        <v>44007</v>
      </c>
      <c r="E70" s="6">
        <v>44014</v>
      </c>
      <c r="F70" s="5">
        <f t="shared" si="48"/>
        <v>7</v>
      </c>
      <c r="G70" s="5" t="s">
        <v>19</v>
      </c>
      <c r="H70" s="5">
        <v>126</v>
      </c>
      <c r="I70" s="5">
        <v>123</v>
      </c>
      <c r="J70" s="5">
        <v>0.21</v>
      </c>
      <c r="K70" s="5">
        <f>H70-I70-J70</f>
        <v>2.79</v>
      </c>
      <c r="L70" s="38">
        <v>0.97719999999999996</v>
      </c>
      <c r="M70" s="5">
        <f>(J70*L70)+(-K70*(1-L70))</f>
        <v>0.14159999999999986</v>
      </c>
      <c r="N70" s="5">
        <v>0</v>
      </c>
      <c r="O70" s="5">
        <f t="shared" si="37"/>
        <v>0.21</v>
      </c>
      <c r="P70" s="38">
        <f t="shared" si="18"/>
        <v>7.5268817204301078E-2</v>
      </c>
      <c r="Q70" s="5" t="s">
        <v>190</v>
      </c>
      <c r="R70" s="5">
        <v>1</v>
      </c>
      <c r="T70" s="5">
        <f t="shared" si="45"/>
        <v>13.220000000000008</v>
      </c>
      <c r="U70" s="5">
        <f t="shared" si="46"/>
        <v>0.21</v>
      </c>
      <c r="V70" s="5" t="b">
        <f t="shared" si="47"/>
        <v>0</v>
      </c>
    </row>
    <row r="71" spans="1:22" s="5" customFormat="1" x14ac:dyDescent="0.3">
      <c r="A71" s="5">
        <v>67</v>
      </c>
      <c r="B71" s="5" t="s">
        <v>24</v>
      </c>
      <c r="C71" s="5" t="s">
        <v>23</v>
      </c>
      <c r="D71" s="6">
        <v>44008</v>
      </c>
      <c r="E71" s="6">
        <v>44014</v>
      </c>
      <c r="F71" s="5">
        <f t="shared" si="48"/>
        <v>6</v>
      </c>
      <c r="G71" s="5" t="s">
        <v>19</v>
      </c>
      <c r="H71" s="5">
        <v>225</v>
      </c>
      <c r="I71" s="5">
        <v>222</v>
      </c>
      <c r="J71" s="5">
        <v>0.18</v>
      </c>
      <c r="K71" s="5">
        <f>H71-I71-J71</f>
        <v>2.82</v>
      </c>
      <c r="L71" s="38">
        <v>0.98829999999999996</v>
      </c>
      <c r="M71" s="5">
        <f>(J71*L71)+(-K71*(1-L71))</f>
        <v>0.14489999999999986</v>
      </c>
      <c r="N71" s="5">
        <v>0</v>
      </c>
      <c r="O71" s="5">
        <f t="shared" si="37"/>
        <v>0.18</v>
      </c>
      <c r="P71" s="38">
        <f t="shared" si="18"/>
        <v>6.3829787234042548E-2</v>
      </c>
      <c r="Q71" s="5" t="s">
        <v>189</v>
      </c>
      <c r="R71" s="5">
        <v>1</v>
      </c>
      <c r="T71" s="5">
        <f t="shared" si="45"/>
        <v>13.400000000000007</v>
      </c>
      <c r="U71" s="5">
        <f t="shared" si="46"/>
        <v>0.18</v>
      </c>
      <c r="V71" s="5" t="b">
        <f t="shared" si="47"/>
        <v>0</v>
      </c>
    </row>
    <row r="72" spans="1:22" s="5" customFormat="1" x14ac:dyDescent="0.3">
      <c r="A72" s="5">
        <v>68</v>
      </c>
      <c r="B72" s="5" t="s">
        <v>28</v>
      </c>
      <c r="C72" s="5" t="s">
        <v>111</v>
      </c>
      <c r="D72" s="6">
        <v>44018</v>
      </c>
      <c r="E72" s="6">
        <v>44022</v>
      </c>
      <c r="F72" s="5">
        <f t="shared" si="48"/>
        <v>4</v>
      </c>
      <c r="G72" s="5" t="s">
        <v>19</v>
      </c>
      <c r="H72" s="5">
        <v>135</v>
      </c>
      <c r="I72" s="5">
        <v>132</v>
      </c>
      <c r="J72" s="5">
        <v>0.23</v>
      </c>
      <c r="K72" s="5">
        <f>H72-I72-J72</f>
        <v>2.77</v>
      </c>
      <c r="L72" s="38">
        <v>0.95389999999999997</v>
      </c>
      <c r="M72" s="5">
        <f>(J72*L72)+(-K72*(1-L72))</f>
        <v>9.169999999999992E-2</v>
      </c>
      <c r="N72" s="5">
        <v>0</v>
      </c>
      <c r="O72" s="5">
        <f t="shared" si="37"/>
        <v>0.23</v>
      </c>
      <c r="P72" s="38">
        <f t="shared" si="18"/>
        <v>8.3032490974729242E-2</v>
      </c>
      <c r="Q72" s="5" t="s">
        <v>193</v>
      </c>
      <c r="R72" s="5">
        <v>1</v>
      </c>
      <c r="T72" s="5">
        <f t="shared" si="45"/>
        <v>13.630000000000008</v>
      </c>
      <c r="U72" s="5">
        <f t="shared" si="46"/>
        <v>0.23</v>
      </c>
      <c r="V72" s="5" t="b">
        <f t="shared" si="47"/>
        <v>0</v>
      </c>
    </row>
    <row r="73" spans="1:22" s="5" customFormat="1" x14ac:dyDescent="0.3">
      <c r="A73" s="5">
        <v>69</v>
      </c>
      <c r="B73" s="5" t="s">
        <v>168</v>
      </c>
      <c r="C73" s="5" t="s">
        <v>111</v>
      </c>
      <c r="D73" s="6">
        <v>44019</v>
      </c>
      <c r="E73" s="6">
        <v>44022</v>
      </c>
      <c r="F73" s="5">
        <f t="shared" si="48"/>
        <v>3</v>
      </c>
      <c r="G73" s="5" t="s">
        <v>19</v>
      </c>
      <c r="H73" s="5">
        <v>134</v>
      </c>
      <c r="I73" s="5">
        <v>131</v>
      </c>
      <c r="J73" s="5">
        <v>0.2</v>
      </c>
      <c r="K73" s="5">
        <f>H73-I73-J73</f>
        <v>2.8</v>
      </c>
      <c r="L73" s="38">
        <v>0.94599999999999995</v>
      </c>
      <c r="M73" s="5">
        <f>(J73*L73)+(-K73*(1-L73))</f>
        <v>3.7999999999999895E-2</v>
      </c>
      <c r="N73" s="5">
        <v>0</v>
      </c>
      <c r="O73" s="5">
        <f t="shared" ref="O73" si="51">J73-N73</f>
        <v>0.2</v>
      </c>
      <c r="P73" s="38">
        <f t="shared" ref="P73" si="52">O73/K73</f>
        <v>7.1428571428571438E-2</v>
      </c>
      <c r="Q73" s="5" t="s">
        <v>199</v>
      </c>
      <c r="R73" s="5">
        <v>1</v>
      </c>
      <c r="T73" s="5">
        <f t="shared" si="45"/>
        <v>13.830000000000007</v>
      </c>
      <c r="U73" s="5">
        <f t="shared" si="46"/>
        <v>0.2</v>
      </c>
      <c r="V73" s="5" t="b">
        <f t="shared" si="47"/>
        <v>0</v>
      </c>
    </row>
    <row r="74" spans="1:22" s="5" customFormat="1" x14ac:dyDescent="0.3">
      <c r="A74" s="5">
        <v>70</v>
      </c>
      <c r="B74" s="5" t="s">
        <v>200</v>
      </c>
      <c r="C74" s="5" t="s">
        <v>9</v>
      </c>
      <c r="D74" s="6">
        <v>44025</v>
      </c>
      <c r="E74" s="6">
        <v>44027</v>
      </c>
      <c r="F74" s="5">
        <f t="shared" si="48"/>
        <v>2</v>
      </c>
      <c r="G74" s="5" t="s">
        <v>19</v>
      </c>
      <c r="H74" s="5">
        <v>305</v>
      </c>
      <c r="I74" s="5">
        <v>302</v>
      </c>
      <c r="J74" s="5">
        <v>0.22999999999999998</v>
      </c>
      <c r="K74" s="5">
        <v>2.77</v>
      </c>
      <c r="L74" s="38">
        <v>0.95099999999999996</v>
      </c>
      <c r="M74" s="5">
        <v>8.2999999999999852E-2</v>
      </c>
      <c r="N74" s="5">
        <v>0</v>
      </c>
      <c r="O74" s="5">
        <f t="shared" ref="O74" si="53">J74-N74</f>
        <v>0.22999999999999998</v>
      </c>
      <c r="P74" s="38">
        <f t="shared" ref="P74" si="54">O74/K74</f>
        <v>8.3032490974729228E-2</v>
      </c>
      <c r="Q74" s="5" t="s">
        <v>201</v>
      </c>
      <c r="R74" s="5">
        <v>1</v>
      </c>
      <c r="T74" s="5">
        <f t="shared" si="45"/>
        <v>14.060000000000008</v>
      </c>
      <c r="U74" s="5">
        <f t="shared" si="46"/>
        <v>0.22999999999999998</v>
      </c>
      <c r="V74" s="5" t="b">
        <f t="shared" si="47"/>
        <v>0</v>
      </c>
    </row>
    <row r="75" spans="1:22" s="5" customFormat="1" x14ac:dyDescent="0.3">
      <c r="A75" s="5">
        <v>71</v>
      </c>
      <c r="B75" s="5" t="s">
        <v>203</v>
      </c>
      <c r="C75" s="5" t="s">
        <v>23</v>
      </c>
      <c r="D75" s="6">
        <v>44025</v>
      </c>
      <c r="E75" s="6">
        <v>44029</v>
      </c>
      <c r="F75" s="5">
        <f t="shared" ref="F75:F76" si="55">E75-D75</f>
        <v>4</v>
      </c>
      <c r="G75" s="5" t="s">
        <v>19</v>
      </c>
      <c r="H75" s="5">
        <v>249</v>
      </c>
      <c r="I75" s="5">
        <v>246</v>
      </c>
      <c r="J75" s="5">
        <v>0.26</v>
      </c>
      <c r="K75" s="5">
        <v>2.77</v>
      </c>
      <c r="L75" s="38">
        <v>0.93300000000000005</v>
      </c>
      <c r="M75" s="5">
        <v>8.2999999999999852E-2</v>
      </c>
      <c r="N75" s="5">
        <v>0</v>
      </c>
      <c r="O75" s="5">
        <f t="shared" ref="O75" si="56">J75-N75</f>
        <v>0.26</v>
      </c>
      <c r="P75" s="38">
        <f t="shared" ref="P75" si="57">O75/K75</f>
        <v>9.3862815884476536E-2</v>
      </c>
      <c r="Q75" s="5" t="s">
        <v>204</v>
      </c>
      <c r="R75" s="5">
        <v>1</v>
      </c>
      <c r="T75" s="5">
        <f t="shared" ref="T75:T76" si="58">IF(R75=1,T74+O75,T74-O75)</f>
        <v>14.320000000000007</v>
      </c>
      <c r="U75" s="5">
        <f t="shared" ref="U75:U76" si="59">IF(R75=1,O75)</f>
        <v>0.26</v>
      </c>
      <c r="V75" s="5" t="b">
        <f t="shared" ref="V75:V76" si="60">IF(R75=0,O75)</f>
        <v>0</v>
      </c>
    </row>
    <row r="76" spans="1:22" s="5" customFormat="1" x14ac:dyDescent="0.3">
      <c r="A76" s="5">
        <v>72</v>
      </c>
      <c r="B76" s="5" t="s">
        <v>202</v>
      </c>
      <c r="C76" s="5" t="s">
        <v>9</v>
      </c>
      <c r="D76" s="6">
        <v>44027</v>
      </c>
      <c r="E76" s="6">
        <v>44029</v>
      </c>
      <c r="F76" s="5">
        <f t="shared" si="55"/>
        <v>2</v>
      </c>
      <c r="G76" s="5" t="s">
        <v>19</v>
      </c>
      <c r="H76" s="5">
        <v>313</v>
      </c>
      <c r="I76" s="5">
        <v>310</v>
      </c>
      <c r="J76" s="5">
        <v>0.2</v>
      </c>
      <c r="K76" s="5">
        <v>2.77</v>
      </c>
      <c r="L76" s="38">
        <v>0.95369999999999999</v>
      </c>
      <c r="M76" s="5">
        <v>8.2999999999999852E-2</v>
      </c>
      <c r="N76" s="5">
        <v>0</v>
      </c>
      <c r="O76" s="5">
        <f t="shared" ref="O76" si="61">J76-N76</f>
        <v>0.2</v>
      </c>
      <c r="P76" s="38">
        <f t="shared" ref="P76" si="62">O76/K76</f>
        <v>7.2202166064981949E-2</v>
      </c>
      <c r="Q76" s="5" t="s">
        <v>205</v>
      </c>
      <c r="R76" s="5">
        <v>1</v>
      </c>
      <c r="T76" s="5">
        <f t="shared" si="58"/>
        <v>14.520000000000007</v>
      </c>
      <c r="U76" s="5">
        <f t="shared" si="59"/>
        <v>0.2</v>
      </c>
      <c r="V76" s="5" t="b">
        <f t="shared" si="60"/>
        <v>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7A8F-5324-7549-B2A1-0A85C46FE893}">
  <dimension ref="A1:AC35"/>
  <sheetViews>
    <sheetView workbookViewId="0">
      <selection activeCell="G17" sqref="G17"/>
    </sheetView>
  </sheetViews>
  <sheetFormatPr baseColWidth="10" defaultRowHeight="16" x14ac:dyDescent="0.2"/>
  <cols>
    <col min="1" max="1" width="10.6640625" bestFit="1" customWidth="1"/>
    <col min="2" max="3" width="10.83203125" bestFit="1" customWidth="1"/>
    <col min="4" max="4" width="11.33203125" bestFit="1" customWidth="1"/>
    <col min="5" max="5" width="20.33203125" bestFit="1" customWidth="1"/>
    <col min="6" max="6" width="18" customWidth="1"/>
    <col min="7" max="7" width="11.1640625" customWidth="1"/>
    <col min="8" max="8" width="13.1640625" customWidth="1"/>
    <col min="9" max="9" width="13.5" customWidth="1"/>
    <col min="10" max="10" width="14" customWidth="1"/>
    <col min="11" max="11" width="7.5" customWidth="1"/>
    <col min="12" max="12" width="14.33203125" customWidth="1"/>
    <col min="13" max="13" width="21.83203125" customWidth="1"/>
    <col min="14" max="14" width="17.5" customWidth="1"/>
    <col min="15" max="15" width="8.5" customWidth="1"/>
    <col min="16" max="16" width="13" customWidth="1"/>
    <col min="17" max="17" width="12.6640625" customWidth="1"/>
    <col min="18" max="18" width="10.83203125" customWidth="1"/>
    <col min="19" max="19" width="11.83203125" bestFit="1" customWidth="1"/>
    <col min="20" max="20" width="9" bestFit="1" customWidth="1"/>
    <col min="21" max="21" width="12.33203125" bestFit="1" customWidth="1"/>
    <col min="22" max="22" width="16.83203125" bestFit="1" customWidth="1"/>
  </cols>
  <sheetData>
    <row r="1" spans="1:29" s="13" customFormat="1" ht="24" x14ac:dyDescent="0.3">
      <c r="A1" s="13" t="s">
        <v>11</v>
      </c>
      <c r="B1" s="13" t="s">
        <v>8</v>
      </c>
      <c r="C1" s="13" t="s">
        <v>0</v>
      </c>
      <c r="D1" s="13" t="s">
        <v>1</v>
      </c>
      <c r="E1" s="13" t="s">
        <v>5</v>
      </c>
      <c r="F1" s="13" t="s">
        <v>136</v>
      </c>
      <c r="G1" s="13" t="s">
        <v>18</v>
      </c>
      <c r="H1" s="13" t="s">
        <v>2</v>
      </c>
      <c r="I1" s="13" t="s">
        <v>3</v>
      </c>
      <c r="J1" s="13" t="s">
        <v>4</v>
      </c>
      <c r="K1" s="13" t="s">
        <v>10</v>
      </c>
      <c r="L1" s="14" t="s">
        <v>13</v>
      </c>
      <c r="M1" s="13" t="s">
        <v>14</v>
      </c>
      <c r="N1" s="13" t="s">
        <v>6</v>
      </c>
      <c r="O1" s="13" t="s">
        <v>62</v>
      </c>
      <c r="P1" s="13" t="s">
        <v>61</v>
      </c>
      <c r="Q1" s="13" t="s">
        <v>195</v>
      </c>
      <c r="R1" s="13" t="s">
        <v>191</v>
      </c>
      <c r="S1" s="13" t="s">
        <v>192</v>
      </c>
      <c r="T1" s="13" t="s">
        <v>194</v>
      </c>
      <c r="U1" s="13" t="s">
        <v>196</v>
      </c>
      <c r="V1" s="54">
        <v>11500</v>
      </c>
      <c r="W1"/>
      <c r="X1"/>
      <c r="Y1"/>
      <c r="Z1"/>
      <c r="AA1"/>
      <c r="AB1"/>
      <c r="AC1"/>
    </row>
    <row r="2" spans="1:29" s="5" customFormat="1" ht="24" x14ac:dyDescent="0.3">
      <c r="A2" s="5">
        <v>33</v>
      </c>
      <c r="B2" s="5" t="s">
        <v>141</v>
      </c>
      <c r="C2" s="5" t="s">
        <v>23</v>
      </c>
      <c r="D2" s="6">
        <v>43887</v>
      </c>
      <c r="E2" s="6">
        <v>43896</v>
      </c>
      <c r="F2" s="41">
        <f t="shared" ref="F2:F3" si="0">E2-D2</f>
        <v>9</v>
      </c>
      <c r="G2" s="5" t="s">
        <v>19</v>
      </c>
      <c r="H2" s="5">
        <v>203</v>
      </c>
      <c r="I2" s="5">
        <v>198</v>
      </c>
      <c r="J2" s="5">
        <v>1.1100000000000001</v>
      </c>
      <c r="K2" s="5">
        <f>H2-I2-J2</f>
        <v>3.8899999999999997</v>
      </c>
      <c r="L2" s="7">
        <v>0.93979999999999997</v>
      </c>
      <c r="M2" s="5">
        <v>6.75</v>
      </c>
      <c r="N2" s="5">
        <v>0</v>
      </c>
      <c r="O2" s="5">
        <v>1.1100000000000001</v>
      </c>
      <c r="P2" s="7">
        <f>J2/K2</f>
        <v>0.28534704370179953</v>
      </c>
      <c r="Q2" s="5">
        <v>1</v>
      </c>
      <c r="R2" s="5">
        <v>10</v>
      </c>
      <c r="S2" s="5">
        <f>R2*K2*100</f>
        <v>3890</v>
      </c>
      <c r="T2" s="5">
        <f>S2</f>
        <v>3890</v>
      </c>
      <c r="U2" s="5">
        <f>R2*O2*100</f>
        <v>1110.0000000000002</v>
      </c>
      <c r="V2" s="59">
        <f>V1+U2</f>
        <v>12610</v>
      </c>
      <c r="W2"/>
      <c r="X2"/>
      <c r="Y2"/>
      <c r="Z2"/>
      <c r="AA2"/>
      <c r="AB2"/>
      <c r="AC2"/>
    </row>
    <row r="3" spans="1:29" s="5" customFormat="1" ht="24" x14ac:dyDescent="0.3">
      <c r="A3" s="5">
        <v>34</v>
      </c>
      <c r="B3" s="5" t="s">
        <v>151</v>
      </c>
      <c r="C3" s="5" t="s">
        <v>9</v>
      </c>
      <c r="D3" s="6">
        <v>43907</v>
      </c>
      <c r="E3" s="6">
        <v>43910</v>
      </c>
      <c r="F3" s="5">
        <f t="shared" si="0"/>
        <v>3</v>
      </c>
      <c r="G3" s="5" t="s">
        <v>20</v>
      </c>
      <c r="H3" s="5">
        <v>250</v>
      </c>
      <c r="I3" s="5">
        <v>260</v>
      </c>
      <c r="J3" s="5">
        <v>5.15</v>
      </c>
      <c r="K3" s="5">
        <f>ABS(I3-H3)-J3</f>
        <v>4.8499999999999996</v>
      </c>
      <c r="L3" s="7">
        <v>0.55969999999999998</v>
      </c>
      <c r="M3" s="5">
        <f>(J3*L3)+(-K3*(1-L3))</f>
        <v>0.74700000000000033</v>
      </c>
      <c r="N3" s="5">
        <v>0</v>
      </c>
      <c r="O3" s="41">
        <f>J3-N3</f>
        <v>5.15</v>
      </c>
      <c r="P3" s="7">
        <f>O3/K3</f>
        <v>1.061855670103093</v>
      </c>
      <c r="Q3" s="5">
        <v>1</v>
      </c>
      <c r="R3" s="5">
        <v>10</v>
      </c>
      <c r="S3" s="5">
        <f>R3*K3*100</f>
        <v>4850</v>
      </c>
      <c r="T3" s="5">
        <f>T2+S3</f>
        <v>8740</v>
      </c>
      <c r="U3" s="5">
        <f>R3*O3*100</f>
        <v>5150</v>
      </c>
      <c r="V3" s="59">
        <f t="shared" ref="V3" si="1">V2+U3</f>
        <v>17760</v>
      </c>
      <c r="W3"/>
      <c r="X3"/>
      <c r="Y3"/>
      <c r="Z3"/>
      <c r="AA3"/>
      <c r="AB3"/>
      <c r="AC3"/>
    </row>
    <row r="4" spans="1:29" s="5" customFormat="1" ht="24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 s="61"/>
      <c r="W4"/>
      <c r="X4"/>
      <c r="Y4"/>
      <c r="Z4"/>
      <c r="AA4"/>
      <c r="AB4"/>
      <c r="AC4"/>
    </row>
    <row r="5" spans="1:29" s="5" customFormat="1" ht="24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1" t="s">
        <v>198</v>
      </c>
      <c r="Q5" s="2">
        <f>AVERAGE(Q2:Q3)</f>
        <v>1</v>
      </c>
      <c r="R5"/>
      <c r="S5"/>
      <c r="T5"/>
      <c r="U5" s="1" t="s">
        <v>197</v>
      </c>
      <c r="V5" s="3">
        <f>V3-V1</f>
        <v>6260</v>
      </c>
      <c r="W5"/>
      <c r="X5"/>
      <c r="Y5"/>
      <c r="Z5"/>
      <c r="AA5"/>
      <c r="AB5"/>
      <c r="AC5"/>
    </row>
    <row r="6" spans="1:29" s="5" customFormat="1" ht="24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1" t="s">
        <v>82</v>
      </c>
      <c r="V6" s="2">
        <f>V5/V1</f>
        <v>0.54434782608695653</v>
      </c>
      <c r="W6"/>
      <c r="X6"/>
      <c r="Y6"/>
      <c r="Z6"/>
      <c r="AA6"/>
      <c r="AB6"/>
      <c r="AC6"/>
    </row>
    <row r="7" spans="1:29" s="5" customFormat="1" ht="24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5" customFormat="1" ht="24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" customFormat="1" ht="24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5" customFormat="1" ht="24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5" customFormat="1" ht="24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5" customFormat="1" ht="24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5" customFormat="1" ht="24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5" customFormat="1" ht="24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22" customFormat="1" ht="24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5" customFormat="1" ht="24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5" customFormat="1" ht="24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5" customFormat="1" ht="24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5" customFormat="1" ht="2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5" customFormat="1" ht="2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5" customFormat="1" ht="2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5" customFormat="1" ht="2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5" customFormat="1" ht="2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5" customFormat="1" ht="2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5" customFormat="1" ht="2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5" customFormat="1" ht="2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5" customFormat="1" ht="2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2" customFormat="1" ht="2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2" customFormat="1" ht="2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5" customFormat="1" ht="2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5" customFormat="1" ht="24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5" customFormat="1" ht="24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5" customFormat="1" ht="2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5" customFormat="1" ht="2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5" customFormat="1" ht="2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D9C6-B450-0345-8328-B476FFB7FC80}">
  <dimension ref="A1:X41"/>
  <sheetViews>
    <sheetView tabSelected="1" topLeftCell="A21" workbookViewId="0">
      <selection activeCell="T44" sqref="T44"/>
    </sheetView>
  </sheetViews>
  <sheetFormatPr baseColWidth="10" defaultRowHeight="16" x14ac:dyDescent="0.2"/>
  <cols>
    <col min="1" max="1" width="10.6640625" bestFit="1" customWidth="1"/>
    <col min="2" max="3" width="10.83203125" bestFit="1" customWidth="1"/>
    <col min="4" max="4" width="11.33203125" bestFit="1" customWidth="1"/>
    <col min="5" max="5" width="20.33203125" bestFit="1" customWidth="1"/>
    <col min="6" max="6" width="18" customWidth="1"/>
    <col min="7" max="7" width="11.1640625" customWidth="1"/>
    <col min="8" max="8" width="13.1640625" customWidth="1"/>
    <col min="9" max="9" width="13.5" customWidth="1"/>
    <col min="10" max="10" width="14" customWidth="1"/>
    <col min="11" max="11" width="7.5" customWidth="1"/>
    <col min="12" max="12" width="14.33203125" customWidth="1"/>
    <col min="13" max="13" width="21.83203125" customWidth="1"/>
    <col min="14" max="14" width="17.5" customWidth="1"/>
    <col min="15" max="15" width="8.5" customWidth="1"/>
    <col min="16" max="16" width="13" customWidth="1"/>
    <col min="17" max="17" width="12.6640625" customWidth="1"/>
    <col min="18" max="18" width="10.83203125" customWidth="1"/>
    <col min="19" max="19" width="11.83203125" bestFit="1" customWidth="1"/>
    <col min="20" max="20" width="9" bestFit="1" customWidth="1"/>
    <col min="21" max="21" width="15" bestFit="1" customWidth="1"/>
    <col min="22" max="22" width="16.83203125" bestFit="1" customWidth="1"/>
  </cols>
  <sheetData>
    <row r="1" spans="1:24" s="13" customFormat="1" ht="24" x14ac:dyDescent="0.3">
      <c r="A1" s="13" t="s">
        <v>11</v>
      </c>
      <c r="B1" s="13" t="s">
        <v>8</v>
      </c>
      <c r="C1" s="13" t="s">
        <v>0</v>
      </c>
      <c r="D1" s="13" t="s">
        <v>1</v>
      </c>
      <c r="E1" s="13" t="s">
        <v>5</v>
      </c>
      <c r="F1" s="13" t="s">
        <v>136</v>
      </c>
      <c r="G1" s="13" t="s">
        <v>18</v>
      </c>
      <c r="H1" s="13" t="s">
        <v>2</v>
      </c>
      <c r="I1" s="13" t="s">
        <v>3</v>
      </c>
      <c r="J1" s="13" t="s">
        <v>4</v>
      </c>
      <c r="K1" s="13" t="s">
        <v>10</v>
      </c>
      <c r="L1" s="14" t="s">
        <v>13</v>
      </c>
      <c r="M1" s="13" t="s">
        <v>14</v>
      </c>
      <c r="N1" s="13" t="s">
        <v>6</v>
      </c>
      <c r="O1" s="13" t="s">
        <v>62</v>
      </c>
      <c r="P1" s="13" t="s">
        <v>61</v>
      </c>
      <c r="Q1" s="13" t="s">
        <v>195</v>
      </c>
      <c r="R1" s="13" t="s">
        <v>191</v>
      </c>
      <c r="S1" s="13" t="s">
        <v>192</v>
      </c>
      <c r="T1" s="13" t="s">
        <v>194</v>
      </c>
      <c r="U1" s="13" t="s">
        <v>196</v>
      </c>
      <c r="V1" s="54">
        <v>17540</v>
      </c>
      <c r="X1" s="54"/>
    </row>
    <row r="2" spans="1:24" s="5" customFormat="1" ht="24" x14ac:dyDescent="0.3">
      <c r="A2" s="5">
        <v>35</v>
      </c>
      <c r="B2" s="5" t="s">
        <v>28</v>
      </c>
      <c r="C2" s="5" t="s">
        <v>9</v>
      </c>
      <c r="D2" s="6">
        <v>43914</v>
      </c>
      <c r="E2" s="6">
        <v>43917</v>
      </c>
      <c r="F2" s="5">
        <f t="shared" ref="F2:F35" si="0">E2-D2</f>
        <v>3</v>
      </c>
      <c r="G2" s="5" t="s">
        <v>19</v>
      </c>
      <c r="H2" s="5">
        <v>218</v>
      </c>
      <c r="I2" s="5">
        <v>215</v>
      </c>
      <c r="J2" s="29">
        <v>0.3</v>
      </c>
      <c r="K2" s="29">
        <f>H2-I2-J2</f>
        <v>2.7</v>
      </c>
      <c r="L2" s="7">
        <v>0.98880000000000001</v>
      </c>
      <c r="M2" s="5">
        <f t="shared" ref="M2:M6" si="1">(J2*L2)+(-K2*(1-L2))</f>
        <v>0.26640000000000003</v>
      </c>
      <c r="N2" s="5">
        <v>0</v>
      </c>
      <c r="O2" s="41">
        <f t="shared" ref="O2:O14" si="2">J2-N2</f>
        <v>0.3</v>
      </c>
      <c r="P2" s="7">
        <f t="shared" ref="P2:P35" si="3">O2/K2</f>
        <v>0.1111111111111111</v>
      </c>
      <c r="Q2" s="5">
        <v>1</v>
      </c>
      <c r="R2" s="5">
        <v>10</v>
      </c>
      <c r="S2" s="5">
        <f>R2*K2*100</f>
        <v>2700</v>
      </c>
      <c r="T2" s="5">
        <f>S2</f>
        <v>2700</v>
      </c>
      <c r="U2" s="5">
        <f>J2*R2*100</f>
        <v>300</v>
      </c>
      <c r="V2" s="59">
        <f>V1+U2</f>
        <v>17840</v>
      </c>
    </row>
    <row r="3" spans="1:24" s="5" customFormat="1" ht="24" x14ac:dyDescent="0.3">
      <c r="A3" s="5">
        <v>36</v>
      </c>
      <c r="B3" s="5" t="s">
        <v>28</v>
      </c>
      <c r="C3" s="5" t="s">
        <v>9</v>
      </c>
      <c r="D3" s="6">
        <v>43916</v>
      </c>
      <c r="E3" s="6">
        <v>43924</v>
      </c>
      <c r="F3" s="5">
        <f t="shared" si="0"/>
        <v>8</v>
      </c>
      <c r="G3" s="5" t="s">
        <v>19</v>
      </c>
      <c r="H3" s="5">
        <v>225</v>
      </c>
      <c r="I3" s="5">
        <v>222</v>
      </c>
      <c r="J3" s="29">
        <v>0.41</v>
      </c>
      <c r="K3" s="29">
        <f>H3-I3-J3</f>
        <v>2.59</v>
      </c>
      <c r="L3" s="7">
        <v>0.97219999999999995</v>
      </c>
      <c r="M3" s="5">
        <f t="shared" si="1"/>
        <v>0.32659999999999983</v>
      </c>
      <c r="N3" s="5">
        <v>0</v>
      </c>
      <c r="O3" s="41">
        <f t="shared" si="2"/>
        <v>0.41</v>
      </c>
      <c r="P3" s="7">
        <f t="shared" si="3"/>
        <v>0.15830115830115829</v>
      </c>
      <c r="Q3" s="5">
        <v>1</v>
      </c>
      <c r="R3" s="5">
        <v>10</v>
      </c>
      <c r="S3" s="5">
        <f t="shared" ref="S3:S35" si="4">R3*K3*100</f>
        <v>2590</v>
      </c>
      <c r="T3" s="5">
        <f>T2+S3</f>
        <v>5290</v>
      </c>
      <c r="U3" s="5">
        <f t="shared" ref="U3:U35" si="5">J3*R3*100</f>
        <v>409.99999999999994</v>
      </c>
      <c r="V3" s="59">
        <f t="shared" ref="V3:V35" si="6">V2+U3</f>
        <v>18250</v>
      </c>
    </row>
    <row r="4" spans="1:24" s="5" customFormat="1" ht="24" x14ac:dyDescent="0.3">
      <c r="A4" s="5">
        <v>37</v>
      </c>
      <c r="B4" s="5" t="s">
        <v>98</v>
      </c>
      <c r="C4" s="5" t="s">
        <v>9</v>
      </c>
      <c r="D4" s="6">
        <v>43921</v>
      </c>
      <c r="E4" s="6">
        <v>43924</v>
      </c>
      <c r="F4" s="5">
        <f t="shared" si="0"/>
        <v>3</v>
      </c>
      <c r="G4" s="5" t="s">
        <v>19</v>
      </c>
      <c r="H4" s="5">
        <v>231</v>
      </c>
      <c r="I4" s="5">
        <v>228</v>
      </c>
      <c r="J4" s="29">
        <v>0.4</v>
      </c>
      <c r="K4" s="29">
        <f>H4-I4-J4</f>
        <v>2.6</v>
      </c>
      <c r="L4" s="7">
        <v>0.99609999999999999</v>
      </c>
      <c r="M4" s="5">
        <f t="shared" si="1"/>
        <v>0.38829999999999998</v>
      </c>
      <c r="N4" s="5">
        <v>0</v>
      </c>
      <c r="O4" s="41">
        <f t="shared" si="2"/>
        <v>0.4</v>
      </c>
      <c r="P4" s="7">
        <f t="shared" si="3"/>
        <v>0.15384615384615385</v>
      </c>
      <c r="Q4" s="5">
        <v>1</v>
      </c>
      <c r="R4" s="5">
        <v>10</v>
      </c>
      <c r="S4" s="5">
        <f t="shared" si="4"/>
        <v>2600</v>
      </c>
      <c r="T4" s="5">
        <f>S3+S4</f>
        <v>5190</v>
      </c>
      <c r="U4" s="5">
        <f t="shared" si="5"/>
        <v>400</v>
      </c>
      <c r="V4" s="59">
        <f t="shared" si="6"/>
        <v>18650</v>
      </c>
    </row>
    <row r="5" spans="1:24" s="5" customFormat="1" ht="24" x14ac:dyDescent="0.3">
      <c r="A5" s="5">
        <v>38</v>
      </c>
      <c r="B5" s="5" t="s">
        <v>98</v>
      </c>
      <c r="C5" s="5" t="s">
        <v>9</v>
      </c>
      <c r="D5" s="6">
        <v>43922</v>
      </c>
      <c r="E5" s="6">
        <v>43924</v>
      </c>
      <c r="F5" s="5">
        <f t="shared" si="0"/>
        <v>2</v>
      </c>
      <c r="G5" s="5" t="s">
        <v>19</v>
      </c>
      <c r="H5" s="5">
        <v>230</v>
      </c>
      <c r="I5" s="5">
        <v>227</v>
      </c>
      <c r="J5" s="29">
        <v>0.3</v>
      </c>
      <c r="K5" s="29">
        <f>H5-I5-J5</f>
        <v>2.7</v>
      </c>
      <c r="L5" s="7">
        <v>0.96220000000000006</v>
      </c>
      <c r="M5" s="5">
        <f t="shared" si="1"/>
        <v>0.18660000000000015</v>
      </c>
      <c r="N5" s="5">
        <v>0</v>
      </c>
      <c r="O5" s="41">
        <f t="shared" si="2"/>
        <v>0.3</v>
      </c>
      <c r="P5" s="7">
        <f t="shared" si="3"/>
        <v>0.1111111111111111</v>
      </c>
      <c r="Q5" s="5">
        <v>1</v>
      </c>
      <c r="R5" s="5">
        <v>10</v>
      </c>
      <c r="S5" s="5">
        <f t="shared" si="4"/>
        <v>2700</v>
      </c>
      <c r="T5" s="5">
        <f>T4+S5</f>
        <v>7890</v>
      </c>
      <c r="U5" s="5">
        <f t="shared" si="5"/>
        <v>300</v>
      </c>
      <c r="V5" s="59">
        <f t="shared" si="6"/>
        <v>18950</v>
      </c>
    </row>
    <row r="6" spans="1:24" s="5" customFormat="1" ht="24" x14ac:dyDescent="0.3">
      <c r="A6" s="5">
        <v>39</v>
      </c>
      <c r="B6" s="5" t="s">
        <v>28</v>
      </c>
      <c r="C6" s="5" t="s">
        <v>9</v>
      </c>
      <c r="D6" s="6">
        <v>43923</v>
      </c>
      <c r="E6" s="6">
        <v>43938</v>
      </c>
      <c r="F6" s="5">
        <f t="shared" si="0"/>
        <v>15</v>
      </c>
      <c r="G6" s="5" t="s">
        <v>19</v>
      </c>
      <c r="H6" s="5">
        <v>220</v>
      </c>
      <c r="I6" s="5">
        <v>217</v>
      </c>
      <c r="J6" s="29">
        <v>0.38</v>
      </c>
      <c r="K6" s="29">
        <f>H6-I6-J6</f>
        <v>2.62</v>
      </c>
      <c r="L6" s="7">
        <v>0.92920000000000003</v>
      </c>
      <c r="M6" s="5">
        <f t="shared" si="1"/>
        <v>0.16760000000000008</v>
      </c>
      <c r="N6" s="5">
        <v>0</v>
      </c>
      <c r="O6" s="41">
        <f t="shared" si="2"/>
        <v>0.38</v>
      </c>
      <c r="P6" s="7">
        <f t="shared" si="3"/>
        <v>0.14503816793893129</v>
      </c>
      <c r="Q6" s="5">
        <v>1</v>
      </c>
      <c r="R6" s="5">
        <v>10</v>
      </c>
      <c r="S6" s="5">
        <f t="shared" si="4"/>
        <v>2620.0000000000005</v>
      </c>
      <c r="T6" s="5">
        <f>T5+S6</f>
        <v>10510</v>
      </c>
      <c r="U6" s="5">
        <f t="shared" si="5"/>
        <v>380</v>
      </c>
      <c r="V6" s="59">
        <f t="shared" si="6"/>
        <v>19330</v>
      </c>
    </row>
    <row r="7" spans="1:24" s="5" customFormat="1" ht="24" x14ac:dyDescent="0.3">
      <c r="A7" s="5">
        <v>40</v>
      </c>
      <c r="B7" s="5" t="s">
        <v>28</v>
      </c>
      <c r="C7" s="5" t="s">
        <v>9</v>
      </c>
      <c r="D7" s="6">
        <v>43927</v>
      </c>
      <c r="E7" s="6">
        <v>43938</v>
      </c>
      <c r="F7" s="5">
        <f t="shared" si="0"/>
        <v>11</v>
      </c>
      <c r="G7" s="5" t="s">
        <v>19</v>
      </c>
      <c r="H7" s="5">
        <v>235</v>
      </c>
      <c r="I7" s="5">
        <v>232</v>
      </c>
      <c r="J7" s="29">
        <v>0.26</v>
      </c>
      <c r="K7" s="29">
        <v>2.74</v>
      </c>
      <c r="L7" s="7">
        <v>0.96660000000000001</v>
      </c>
      <c r="M7" s="5">
        <v>0.16</v>
      </c>
      <c r="N7" s="5">
        <v>0</v>
      </c>
      <c r="O7" s="41">
        <f t="shared" si="2"/>
        <v>0.26</v>
      </c>
      <c r="P7" s="7">
        <f t="shared" si="3"/>
        <v>9.4890510948905105E-2</v>
      </c>
      <c r="Q7" s="5">
        <v>1</v>
      </c>
      <c r="R7" s="5">
        <v>10</v>
      </c>
      <c r="S7" s="5">
        <f t="shared" si="4"/>
        <v>2740</v>
      </c>
      <c r="T7" s="5">
        <f>S6+S7</f>
        <v>5360</v>
      </c>
      <c r="U7" s="5">
        <f t="shared" si="5"/>
        <v>260</v>
      </c>
      <c r="V7" s="59">
        <f t="shared" si="6"/>
        <v>19590</v>
      </c>
    </row>
    <row r="8" spans="1:24" s="5" customFormat="1" ht="24" x14ac:dyDescent="0.3">
      <c r="A8" s="5">
        <v>41</v>
      </c>
      <c r="B8" s="5" t="s">
        <v>28</v>
      </c>
      <c r="C8" s="5" t="s">
        <v>111</v>
      </c>
      <c r="D8" s="6">
        <v>43930</v>
      </c>
      <c r="E8" s="6">
        <v>43938</v>
      </c>
      <c r="F8" s="5">
        <f t="shared" si="0"/>
        <v>8</v>
      </c>
      <c r="G8" s="5" t="s">
        <v>19</v>
      </c>
      <c r="H8" s="5">
        <v>110</v>
      </c>
      <c r="I8" s="5">
        <v>107</v>
      </c>
      <c r="J8" s="29">
        <v>0.32</v>
      </c>
      <c r="K8" s="29">
        <f>H8-I8-J8</f>
        <v>2.68</v>
      </c>
      <c r="L8" s="7">
        <v>0.94489999999999996</v>
      </c>
      <c r="M8" s="5">
        <f>(J8*L8)+(-K8*(1-L8))</f>
        <v>0.15469999999999987</v>
      </c>
      <c r="N8" s="5">
        <v>0</v>
      </c>
      <c r="O8" s="41">
        <f t="shared" si="2"/>
        <v>0.32</v>
      </c>
      <c r="P8" s="7">
        <f t="shared" si="3"/>
        <v>0.11940298507462686</v>
      </c>
      <c r="Q8" s="5">
        <v>1</v>
      </c>
      <c r="R8" s="5">
        <v>10</v>
      </c>
      <c r="S8" s="5">
        <f t="shared" si="4"/>
        <v>2680</v>
      </c>
      <c r="T8" s="5">
        <f>T7+S8</f>
        <v>8040</v>
      </c>
      <c r="U8" s="5">
        <f t="shared" si="5"/>
        <v>320</v>
      </c>
      <c r="V8" s="59">
        <f t="shared" si="6"/>
        <v>19910</v>
      </c>
    </row>
    <row r="9" spans="1:24" s="5" customFormat="1" ht="24" x14ac:dyDescent="0.3">
      <c r="A9" s="5">
        <v>42</v>
      </c>
      <c r="B9" s="5" t="s">
        <v>120</v>
      </c>
      <c r="C9" s="5" t="s">
        <v>155</v>
      </c>
      <c r="D9" s="6">
        <v>43934</v>
      </c>
      <c r="E9" s="6">
        <v>43945</v>
      </c>
      <c r="F9" s="5">
        <f t="shared" si="0"/>
        <v>11</v>
      </c>
      <c r="G9" s="5" t="s">
        <v>19</v>
      </c>
      <c r="H9" s="5">
        <v>21</v>
      </c>
      <c r="I9" s="5">
        <v>18</v>
      </c>
      <c r="J9" s="29">
        <v>0.4</v>
      </c>
      <c r="K9" s="29">
        <f>H9-I9-J9</f>
        <v>2.6</v>
      </c>
      <c r="L9" s="7">
        <v>0.97270000000000001</v>
      </c>
      <c r="M9" s="5">
        <f>(J9*L9)+(-K9*(1-L9))</f>
        <v>0.31810000000000005</v>
      </c>
      <c r="N9" s="5">
        <v>0</v>
      </c>
      <c r="O9" s="41">
        <f t="shared" si="2"/>
        <v>0.4</v>
      </c>
      <c r="P9" s="7">
        <f t="shared" si="3"/>
        <v>0.15384615384615385</v>
      </c>
      <c r="Q9" s="5">
        <v>1</v>
      </c>
      <c r="R9" s="5">
        <v>10</v>
      </c>
      <c r="S9" s="5">
        <f t="shared" si="4"/>
        <v>2600</v>
      </c>
      <c r="T9" s="5">
        <f>T8+S9</f>
        <v>10640</v>
      </c>
      <c r="U9" s="5">
        <f t="shared" si="5"/>
        <v>400</v>
      </c>
      <c r="V9" s="59">
        <f t="shared" si="6"/>
        <v>20310</v>
      </c>
    </row>
    <row r="10" spans="1:24" s="5" customFormat="1" ht="24" x14ac:dyDescent="0.3">
      <c r="A10" s="5">
        <v>43</v>
      </c>
      <c r="B10" s="5" t="s">
        <v>98</v>
      </c>
      <c r="C10" s="5" t="s">
        <v>111</v>
      </c>
      <c r="D10" s="6">
        <v>43935</v>
      </c>
      <c r="E10" s="6">
        <v>43938</v>
      </c>
      <c r="F10" s="5">
        <f t="shared" si="0"/>
        <v>3</v>
      </c>
      <c r="G10" s="5" t="s">
        <v>19</v>
      </c>
      <c r="H10" s="5">
        <v>113</v>
      </c>
      <c r="I10" s="5">
        <v>110</v>
      </c>
      <c r="J10" s="29">
        <v>0.5</v>
      </c>
      <c r="K10" s="29">
        <f>H10-I10-J10</f>
        <v>2.5</v>
      </c>
      <c r="L10" s="7">
        <v>0.97230000000000005</v>
      </c>
      <c r="M10" s="5">
        <f>(J10*L10)+(-K10*(1-L10))</f>
        <v>0.41690000000000016</v>
      </c>
      <c r="N10" s="5">
        <v>0</v>
      </c>
      <c r="O10" s="41">
        <f t="shared" si="2"/>
        <v>0.5</v>
      </c>
      <c r="P10" s="7">
        <f t="shared" si="3"/>
        <v>0.2</v>
      </c>
      <c r="Q10" s="5">
        <v>1</v>
      </c>
      <c r="R10" s="5">
        <v>10</v>
      </c>
      <c r="S10" s="5">
        <f t="shared" si="4"/>
        <v>2500</v>
      </c>
      <c r="T10" s="5">
        <f>T9+S10</f>
        <v>13140</v>
      </c>
      <c r="U10" s="5">
        <f t="shared" si="5"/>
        <v>500</v>
      </c>
      <c r="V10" s="59">
        <f t="shared" si="6"/>
        <v>20810</v>
      </c>
    </row>
    <row r="11" spans="1:24" s="5" customFormat="1" ht="24" x14ac:dyDescent="0.3">
      <c r="A11" s="5">
        <v>44</v>
      </c>
      <c r="B11" s="5" t="s">
        <v>28</v>
      </c>
      <c r="C11" s="5" t="s">
        <v>23</v>
      </c>
      <c r="D11" s="6">
        <v>43935</v>
      </c>
      <c r="E11" s="6">
        <v>43938</v>
      </c>
      <c r="F11" s="5">
        <f t="shared" si="0"/>
        <v>3</v>
      </c>
      <c r="G11" s="5" t="s">
        <v>19</v>
      </c>
      <c r="H11" s="5">
        <v>200</v>
      </c>
      <c r="I11" s="5">
        <v>197</v>
      </c>
      <c r="J11" s="29">
        <v>0.35</v>
      </c>
      <c r="K11" s="29">
        <f>H11-I11-J11</f>
        <v>2.65</v>
      </c>
      <c r="L11" s="7">
        <v>0.96779999999999999</v>
      </c>
      <c r="M11" s="5">
        <v>0.25</v>
      </c>
      <c r="N11" s="5">
        <v>0</v>
      </c>
      <c r="O11" s="41">
        <f t="shared" si="2"/>
        <v>0.35</v>
      </c>
      <c r="P11" s="7">
        <f t="shared" si="3"/>
        <v>0.13207547169811321</v>
      </c>
      <c r="Q11" s="5">
        <v>1</v>
      </c>
      <c r="R11" s="5">
        <v>10</v>
      </c>
      <c r="S11" s="5">
        <f t="shared" si="4"/>
        <v>2650</v>
      </c>
      <c r="T11" s="5">
        <f>T10+S11</f>
        <v>15790</v>
      </c>
      <c r="U11" s="5">
        <f t="shared" si="5"/>
        <v>350</v>
      </c>
      <c r="V11" s="59">
        <f t="shared" si="6"/>
        <v>21160</v>
      </c>
    </row>
    <row r="12" spans="1:24" s="5" customFormat="1" ht="24" x14ac:dyDescent="0.3">
      <c r="A12" s="5">
        <v>45</v>
      </c>
      <c r="B12" s="5" t="s">
        <v>98</v>
      </c>
      <c r="C12" s="5" t="s">
        <v>111</v>
      </c>
      <c r="D12" s="6">
        <v>43938</v>
      </c>
      <c r="E12" s="6">
        <v>43945</v>
      </c>
      <c r="F12" s="5">
        <f t="shared" si="0"/>
        <v>7</v>
      </c>
      <c r="G12" s="5" t="s">
        <v>19</v>
      </c>
      <c r="H12" s="5">
        <v>109</v>
      </c>
      <c r="I12" s="5">
        <v>107</v>
      </c>
      <c r="J12" s="29">
        <v>0.25</v>
      </c>
      <c r="K12" s="29">
        <f>H12-I12-J12</f>
        <v>1.75</v>
      </c>
      <c r="L12" s="7">
        <v>0.94599999999999995</v>
      </c>
      <c r="M12" s="5">
        <f>(J12*L12)+(-K12*(1-L12))</f>
        <v>0.1419999999999999</v>
      </c>
      <c r="N12" s="5">
        <v>0</v>
      </c>
      <c r="O12" s="41">
        <f t="shared" si="2"/>
        <v>0.25</v>
      </c>
      <c r="P12" s="7">
        <f t="shared" si="3"/>
        <v>0.14285714285714285</v>
      </c>
      <c r="Q12" s="5">
        <v>1</v>
      </c>
      <c r="R12" s="5">
        <v>10</v>
      </c>
      <c r="S12" s="5">
        <f t="shared" si="4"/>
        <v>1750</v>
      </c>
      <c r="T12" s="5">
        <f>T11+S12</f>
        <v>17540</v>
      </c>
      <c r="U12" s="5">
        <f t="shared" si="5"/>
        <v>250</v>
      </c>
      <c r="V12" s="59">
        <f t="shared" si="6"/>
        <v>21410</v>
      </c>
    </row>
    <row r="13" spans="1:24" s="5" customFormat="1" ht="24" x14ac:dyDescent="0.3">
      <c r="A13" s="5">
        <v>46</v>
      </c>
      <c r="B13" s="5" t="s">
        <v>28</v>
      </c>
      <c r="C13" s="5" t="s">
        <v>9</v>
      </c>
      <c r="D13" s="6">
        <v>43948</v>
      </c>
      <c r="E13" s="6">
        <v>43952</v>
      </c>
      <c r="F13" s="5">
        <f t="shared" si="0"/>
        <v>4</v>
      </c>
      <c r="G13" s="5" t="s">
        <v>19</v>
      </c>
      <c r="H13" s="5">
        <v>274</v>
      </c>
      <c r="I13" s="5">
        <v>271</v>
      </c>
      <c r="J13" s="5">
        <v>0.25</v>
      </c>
      <c r="K13" s="5">
        <v>2.75</v>
      </c>
      <c r="L13" s="38">
        <v>0.9496</v>
      </c>
      <c r="M13" s="5">
        <f>(J13*L13)+(-K13*(1-L13))</f>
        <v>9.8799999999999999E-2</v>
      </c>
      <c r="N13" s="5">
        <v>0</v>
      </c>
      <c r="O13" s="5">
        <f t="shared" si="2"/>
        <v>0.25</v>
      </c>
      <c r="P13" s="38">
        <f t="shared" si="3"/>
        <v>9.0909090909090912E-2</v>
      </c>
      <c r="Q13" s="5">
        <v>1</v>
      </c>
      <c r="R13" s="5">
        <v>10</v>
      </c>
      <c r="S13" s="5">
        <f t="shared" si="4"/>
        <v>2750</v>
      </c>
      <c r="T13" s="5">
        <f>S13</f>
        <v>2750</v>
      </c>
      <c r="U13" s="5">
        <f t="shared" si="5"/>
        <v>250</v>
      </c>
      <c r="V13" s="59">
        <f t="shared" si="6"/>
        <v>21660</v>
      </c>
    </row>
    <row r="14" spans="1:24" s="5" customFormat="1" ht="24" x14ac:dyDescent="0.3">
      <c r="A14" s="5">
        <v>47</v>
      </c>
      <c r="B14" s="5" t="s">
        <v>98</v>
      </c>
      <c r="C14" s="5" t="s">
        <v>9</v>
      </c>
      <c r="D14" s="6">
        <v>43948</v>
      </c>
      <c r="E14" s="6">
        <v>43955</v>
      </c>
      <c r="F14" s="5">
        <f t="shared" si="0"/>
        <v>7</v>
      </c>
      <c r="G14" s="5" t="s">
        <v>19</v>
      </c>
      <c r="H14" s="5">
        <v>272</v>
      </c>
      <c r="I14" s="5">
        <v>269</v>
      </c>
      <c r="J14" s="5">
        <v>0.27</v>
      </c>
      <c r="K14" s="5">
        <f t="shared" ref="K14:K33" si="7">H14-I14-J14</f>
        <v>2.73</v>
      </c>
      <c r="L14" s="38">
        <v>0.92420000000000002</v>
      </c>
      <c r="M14" s="5">
        <v>0.36</v>
      </c>
      <c r="N14" s="5">
        <v>0</v>
      </c>
      <c r="O14" s="5">
        <f t="shared" si="2"/>
        <v>0.27</v>
      </c>
      <c r="P14" s="38">
        <f t="shared" si="3"/>
        <v>9.8901098901098911E-2</v>
      </c>
      <c r="Q14" s="5">
        <v>1</v>
      </c>
      <c r="R14" s="5">
        <v>10</v>
      </c>
      <c r="S14" s="5">
        <f t="shared" si="4"/>
        <v>2730</v>
      </c>
      <c r="T14" s="5">
        <f>T13+S14</f>
        <v>5480</v>
      </c>
      <c r="U14" s="5">
        <f t="shared" si="5"/>
        <v>270</v>
      </c>
      <c r="V14" s="59">
        <f t="shared" si="6"/>
        <v>21930</v>
      </c>
    </row>
    <row r="15" spans="1:24" s="22" customFormat="1" ht="24" x14ac:dyDescent="0.3">
      <c r="A15" s="48">
        <v>48</v>
      </c>
      <c r="B15" s="22" t="s">
        <v>98</v>
      </c>
      <c r="C15" s="22" t="s">
        <v>9</v>
      </c>
      <c r="D15" s="22">
        <v>43950</v>
      </c>
      <c r="E15" s="22">
        <v>43952</v>
      </c>
      <c r="F15" s="48">
        <f t="shared" si="0"/>
        <v>2</v>
      </c>
      <c r="G15" s="48" t="s">
        <v>19</v>
      </c>
      <c r="H15" s="48">
        <v>285</v>
      </c>
      <c r="I15" s="48">
        <v>283</v>
      </c>
      <c r="J15" s="48">
        <v>0.33</v>
      </c>
      <c r="K15" s="48">
        <f t="shared" si="7"/>
        <v>1.67</v>
      </c>
      <c r="L15" s="39">
        <v>0.93510000000000004</v>
      </c>
      <c r="M15" s="48">
        <f t="shared" ref="M15:M33" si="8">(J15*L15)+(-K15*(1-L15))</f>
        <v>0.20020000000000013</v>
      </c>
      <c r="N15" s="48">
        <v>2</v>
      </c>
      <c r="O15" s="48">
        <v>-1.67</v>
      </c>
      <c r="P15" s="39">
        <f t="shared" si="3"/>
        <v>-1</v>
      </c>
      <c r="Q15" s="48">
        <v>0</v>
      </c>
      <c r="R15" s="5">
        <v>10</v>
      </c>
      <c r="S15" s="5">
        <f t="shared" si="4"/>
        <v>1670</v>
      </c>
      <c r="T15" s="48">
        <f>T14+S15</f>
        <v>7150</v>
      </c>
      <c r="U15" s="48">
        <f>O15*R15*100</f>
        <v>-1670</v>
      </c>
      <c r="V15" s="60">
        <f>V14+U15</f>
        <v>20260</v>
      </c>
    </row>
    <row r="16" spans="1:24" s="5" customFormat="1" ht="24" x14ac:dyDescent="0.3">
      <c r="A16" s="5">
        <v>49</v>
      </c>
      <c r="B16" s="5" t="s">
        <v>164</v>
      </c>
      <c r="C16" s="5" t="s">
        <v>9</v>
      </c>
      <c r="D16" s="6">
        <v>43951</v>
      </c>
      <c r="E16" s="6">
        <v>43959</v>
      </c>
      <c r="F16" s="5">
        <f t="shared" si="0"/>
        <v>8</v>
      </c>
      <c r="G16" s="5" t="s">
        <v>19</v>
      </c>
      <c r="H16" s="5">
        <v>264</v>
      </c>
      <c r="I16" s="5">
        <v>261</v>
      </c>
      <c r="J16" s="5">
        <v>0.25</v>
      </c>
      <c r="K16" s="5">
        <f t="shared" si="7"/>
        <v>2.75</v>
      </c>
      <c r="L16" s="38">
        <v>0.96209999999999996</v>
      </c>
      <c r="M16" s="5">
        <f t="shared" si="8"/>
        <v>0.13629999999999987</v>
      </c>
      <c r="N16" s="5">
        <v>0</v>
      </c>
      <c r="O16" s="5">
        <f t="shared" ref="O16:O31" si="9">J16-N16</f>
        <v>0.25</v>
      </c>
      <c r="P16" s="38">
        <f t="shared" si="3"/>
        <v>9.0909090909090912E-2</v>
      </c>
      <c r="Q16" s="5">
        <v>1</v>
      </c>
      <c r="R16" s="5">
        <v>10</v>
      </c>
      <c r="S16" s="5">
        <f t="shared" si="4"/>
        <v>2750</v>
      </c>
      <c r="T16" s="5">
        <f>T15+S16</f>
        <v>9900</v>
      </c>
      <c r="U16" s="5">
        <f t="shared" si="5"/>
        <v>250</v>
      </c>
      <c r="V16" s="59">
        <f t="shared" si="6"/>
        <v>20510</v>
      </c>
    </row>
    <row r="17" spans="1:22" s="5" customFormat="1" ht="24" x14ac:dyDescent="0.3">
      <c r="A17" s="5">
        <v>50</v>
      </c>
      <c r="B17" s="5" t="s">
        <v>28</v>
      </c>
      <c r="C17" s="5" t="s">
        <v>111</v>
      </c>
      <c r="D17" s="6">
        <v>43952</v>
      </c>
      <c r="E17" s="6">
        <v>43959</v>
      </c>
      <c r="F17" s="5">
        <f t="shared" si="0"/>
        <v>7</v>
      </c>
      <c r="G17" s="5" t="s">
        <v>19</v>
      </c>
      <c r="H17" s="5">
        <v>113</v>
      </c>
      <c r="I17" s="5">
        <v>110</v>
      </c>
      <c r="J17" s="5">
        <v>0.31</v>
      </c>
      <c r="K17" s="5">
        <f t="shared" si="7"/>
        <v>2.69</v>
      </c>
      <c r="L17" s="38">
        <v>0.95420000000000005</v>
      </c>
      <c r="M17" s="5">
        <f t="shared" si="8"/>
        <v>0.17260000000000014</v>
      </c>
      <c r="N17" s="5">
        <v>0</v>
      </c>
      <c r="O17" s="5">
        <f t="shared" si="9"/>
        <v>0.31</v>
      </c>
      <c r="P17" s="38">
        <f t="shared" si="3"/>
        <v>0.11524163568773234</v>
      </c>
      <c r="Q17" s="5">
        <v>1</v>
      </c>
      <c r="R17" s="5">
        <v>10</v>
      </c>
      <c r="S17" s="5">
        <f t="shared" si="4"/>
        <v>2690</v>
      </c>
      <c r="T17" s="5">
        <f>T16+S17</f>
        <v>12590</v>
      </c>
      <c r="U17" s="5">
        <f t="shared" si="5"/>
        <v>310</v>
      </c>
      <c r="V17" s="59">
        <f t="shared" si="6"/>
        <v>20820</v>
      </c>
    </row>
    <row r="18" spans="1:22" s="5" customFormat="1" ht="24" x14ac:dyDescent="0.3">
      <c r="A18" s="5">
        <v>51</v>
      </c>
      <c r="B18" s="5" t="s">
        <v>168</v>
      </c>
      <c r="C18" s="5" t="s">
        <v>111</v>
      </c>
      <c r="D18" s="6">
        <v>43959</v>
      </c>
      <c r="E18" s="6">
        <v>43966</v>
      </c>
      <c r="F18" s="5">
        <f t="shared" si="0"/>
        <v>7</v>
      </c>
      <c r="G18" s="5" t="s">
        <v>19</v>
      </c>
      <c r="H18" s="5">
        <v>123</v>
      </c>
      <c r="I18" s="5">
        <v>120</v>
      </c>
      <c r="J18" s="5">
        <v>0.31</v>
      </c>
      <c r="K18" s="5">
        <f t="shared" si="7"/>
        <v>2.69</v>
      </c>
      <c r="L18" s="38">
        <v>0.91690000000000005</v>
      </c>
      <c r="M18" s="5">
        <f t="shared" si="8"/>
        <v>6.0700000000000143E-2</v>
      </c>
      <c r="N18" s="5">
        <v>0</v>
      </c>
      <c r="O18" s="5">
        <f t="shared" si="9"/>
        <v>0.31</v>
      </c>
      <c r="P18" s="38">
        <f t="shared" si="3"/>
        <v>0.11524163568773234</v>
      </c>
      <c r="Q18" s="5">
        <v>1</v>
      </c>
      <c r="R18" s="5">
        <v>10</v>
      </c>
      <c r="S18" s="5">
        <f t="shared" si="4"/>
        <v>2690</v>
      </c>
      <c r="T18" s="5">
        <f>S16+S17+S18</f>
        <v>8130</v>
      </c>
      <c r="U18" s="5">
        <f t="shared" si="5"/>
        <v>310</v>
      </c>
      <c r="V18" s="59">
        <f t="shared" si="6"/>
        <v>21130</v>
      </c>
    </row>
    <row r="19" spans="1:22" s="5" customFormat="1" ht="24" x14ac:dyDescent="0.3">
      <c r="A19" s="5">
        <v>52</v>
      </c>
      <c r="B19" s="5" t="s">
        <v>169</v>
      </c>
      <c r="C19" s="5" t="s">
        <v>111</v>
      </c>
      <c r="D19" s="6">
        <v>43962</v>
      </c>
      <c r="E19" s="6">
        <v>43966</v>
      </c>
      <c r="F19" s="5">
        <f t="shared" si="0"/>
        <v>4</v>
      </c>
      <c r="G19" s="5" t="s">
        <v>19</v>
      </c>
      <c r="H19" s="5">
        <v>123</v>
      </c>
      <c r="I19" s="5">
        <v>120</v>
      </c>
      <c r="J19" s="5">
        <v>0.23</v>
      </c>
      <c r="K19" s="5">
        <f t="shared" si="7"/>
        <v>2.77</v>
      </c>
      <c r="L19" s="38">
        <v>0.95520000000000005</v>
      </c>
      <c r="M19" s="5">
        <f t="shared" si="8"/>
        <v>9.5600000000000171E-2</v>
      </c>
      <c r="N19" s="5">
        <v>0</v>
      </c>
      <c r="O19" s="5">
        <f t="shared" si="9"/>
        <v>0.23</v>
      </c>
      <c r="P19" s="38">
        <f t="shared" si="3"/>
        <v>8.3032490974729242E-2</v>
      </c>
      <c r="Q19" s="5">
        <v>1</v>
      </c>
      <c r="R19" s="5">
        <v>10</v>
      </c>
      <c r="S19" s="5">
        <f t="shared" si="4"/>
        <v>2770</v>
      </c>
      <c r="T19" s="5">
        <f>S18+S19</f>
        <v>5460</v>
      </c>
      <c r="U19" s="5">
        <f t="shared" si="5"/>
        <v>230.00000000000003</v>
      </c>
      <c r="V19" s="59">
        <f t="shared" si="6"/>
        <v>21360</v>
      </c>
    </row>
    <row r="20" spans="1:22" s="5" customFormat="1" ht="24" x14ac:dyDescent="0.3">
      <c r="A20" s="5">
        <v>53</v>
      </c>
      <c r="B20" s="5" t="s">
        <v>98</v>
      </c>
      <c r="C20" s="5" t="s">
        <v>9</v>
      </c>
      <c r="D20" s="6">
        <v>43964</v>
      </c>
      <c r="E20" s="6">
        <v>43966</v>
      </c>
      <c r="F20" s="5">
        <f t="shared" si="0"/>
        <v>2</v>
      </c>
      <c r="G20" s="5" t="s">
        <v>19</v>
      </c>
      <c r="H20" s="5">
        <v>271</v>
      </c>
      <c r="I20" s="5">
        <v>269</v>
      </c>
      <c r="J20" s="5">
        <v>0.33</v>
      </c>
      <c r="K20" s="5">
        <f t="shared" si="7"/>
        <v>1.67</v>
      </c>
      <c r="L20" s="38">
        <v>0.95509999999999995</v>
      </c>
      <c r="M20" s="5">
        <f t="shared" si="8"/>
        <v>0.24019999999999991</v>
      </c>
      <c r="N20" s="5">
        <v>0</v>
      </c>
      <c r="O20" s="5">
        <f t="shared" si="9"/>
        <v>0.33</v>
      </c>
      <c r="P20" s="38">
        <f t="shared" si="3"/>
        <v>0.19760479041916171</v>
      </c>
      <c r="Q20" s="5">
        <v>1</v>
      </c>
      <c r="R20" s="5">
        <v>10</v>
      </c>
      <c r="S20" s="5">
        <f t="shared" si="4"/>
        <v>1670</v>
      </c>
      <c r="T20" s="5">
        <f>T19+S20</f>
        <v>7130</v>
      </c>
      <c r="U20" s="5">
        <f t="shared" si="5"/>
        <v>330</v>
      </c>
      <c r="V20" s="59">
        <f t="shared" si="6"/>
        <v>21690</v>
      </c>
    </row>
    <row r="21" spans="1:22" s="5" customFormat="1" ht="24" x14ac:dyDescent="0.3">
      <c r="A21" s="5">
        <v>54</v>
      </c>
      <c r="B21" s="5" t="s">
        <v>169</v>
      </c>
      <c r="C21" s="5" t="s">
        <v>9</v>
      </c>
      <c r="D21" s="6">
        <v>43965</v>
      </c>
      <c r="E21" s="6">
        <v>43971</v>
      </c>
      <c r="F21" s="5">
        <f t="shared" si="0"/>
        <v>6</v>
      </c>
      <c r="G21" s="5" t="s">
        <v>19</v>
      </c>
      <c r="H21" s="5">
        <v>268</v>
      </c>
      <c r="I21" s="5">
        <v>265</v>
      </c>
      <c r="J21" s="5">
        <v>0.3</v>
      </c>
      <c r="K21" s="5">
        <f t="shared" si="7"/>
        <v>2.7</v>
      </c>
      <c r="L21" s="38">
        <v>0.95450000000000002</v>
      </c>
      <c r="M21" s="5">
        <f t="shared" si="8"/>
        <v>0.16350000000000003</v>
      </c>
      <c r="N21" s="5">
        <v>0</v>
      </c>
      <c r="O21" s="5">
        <f t="shared" si="9"/>
        <v>0.3</v>
      </c>
      <c r="P21" s="38">
        <f t="shared" si="3"/>
        <v>0.1111111111111111</v>
      </c>
      <c r="Q21" s="5">
        <v>1</v>
      </c>
      <c r="R21" s="5">
        <v>10</v>
      </c>
      <c r="S21" s="5">
        <f t="shared" si="4"/>
        <v>2700</v>
      </c>
      <c r="T21" s="5">
        <f>T20+S21</f>
        <v>9830</v>
      </c>
      <c r="U21" s="5">
        <f t="shared" si="5"/>
        <v>300</v>
      </c>
      <c r="V21" s="59">
        <f t="shared" si="6"/>
        <v>21990</v>
      </c>
    </row>
    <row r="22" spans="1:22" s="5" customFormat="1" ht="24" x14ac:dyDescent="0.3">
      <c r="A22" s="5">
        <v>55</v>
      </c>
      <c r="B22" s="5" t="s">
        <v>168</v>
      </c>
      <c r="C22" s="5" t="s">
        <v>9</v>
      </c>
      <c r="D22" s="6">
        <v>43972</v>
      </c>
      <c r="E22" s="6">
        <v>43978</v>
      </c>
      <c r="F22" s="5">
        <f t="shared" si="0"/>
        <v>6</v>
      </c>
      <c r="G22" s="5" t="s">
        <v>19</v>
      </c>
      <c r="H22" s="5">
        <v>283</v>
      </c>
      <c r="I22" s="5">
        <v>280</v>
      </c>
      <c r="J22" s="5">
        <v>0.23</v>
      </c>
      <c r="K22" s="5">
        <f t="shared" si="7"/>
        <v>2.77</v>
      </c>
      <c r="L22" s="38">
        <v>0.93279999999999996</v>
      </c>
      <c r="M22" s="5">
        <f t="shared" si="8"/>
        <v>2.8399999999999898E-2</v>
      </c>
      <c r="N22" s="5">
        <v>0</v>
      </c>
      <c r="O22" s="5">
        <f t="shared" si="9"/>
        <v>0.23</v>
      </c>
      <c r="P22" s="38">
        <f t="shared" si="3"/>
        <v>8.3032490974729242E-2</v>
      </c>
      <c r="Q22" s="5">
        <v>1</v>
      </c>
      <c r="R22" s="5">
        <v>10</v>
      </c>
      <c r="S22" s="5">
        <f t="shared" si="4"/>
        <v>2770</v>
      </c>
      <c r="T22" s="5">
        <f>S21+S22</f>
        <v>5470</v>
      </c>
      <c r="U22" s="5">
        <f t="shared" si="5"/>
        <v>230.00000000000003</v>
      </c>
      <c r="V22" s="59">
        <f t="shared" si="6"/>
        <v>22220</v>
      </c>
    </row>
    <row r="23" spans="1:22" s="5" customFormat="1" ht="24" x14ac:dyDescent="0.3">
      <c r="A23" s="5">
        <v>56</v>
      </c>
      <c r="B23" s="5" t="s">
        <v>168</v>
      </c>
      <c r="C23" s="5" t="s">
        <v>23</v>
      </c>
      <c r="D23" s="6">
        <v>43977</v>
      </c>
      <c r="E23" s="6">
        <v>43980</v>
      </c>
      <c r="F23" s="5">
        <f t="shared" si="0"/>
        <v>3</v>
      </c>
      <c r="G23" s="5" t="s">
        <v>19</v>
      </c>
      <c r="H23" s="5">
        <v>222</v>
      </c>
      <c r="I23" s="5">
        <v>218</v>
      </c>
      <c r="J23" s="5">
        <v>0.4</v>
      </c>
      <c r="K23" s="5">
        <f t="shared" si="7"/>
        <v>3.6</v>
      </c>
      <c r="L23" s="38">
        <v>0.91700000000000004</v>
      </c>
      <c r="M23" s="5">
        <f t="shared" si="8"/>
        <v>6.8000000000000116E-2</v>
      </c>
      <c r="N23" s="5">
        <v>0</v>
      </c>
      <c r="O23" s="5">
        <f t="shared" si="9"/>
        <v>0.4</v>
      </c>
      <c r="P23" s="38">
        <f t="shared" si="3"/>
        <v>0.11111111111111112</v>
      </c>
      <c r="Q23" s="5">
        <v>1</v>
      </c>
      <c r="R23" s="5">
        <v>10</v>
      </c>
      <c r="S23" s="5">
        <f t="shared" si="4"/>
        <v>3600</v>
      </c>
      <c r="T23" s="5">
        <f>S22+S23</f>
        <v>6370</v>
      </c>
      <c r="U23" s="5">
        <f t="shared" si="5"/>
        <v>400</v>
      </c>
      <c r="V23" s="59">
        <f t="shared" si="6"/>
        <v>22620</v>
      </c>
    </row>
    <row r="24" spans="1:22" s="5" customFormat="1" ht="24" x14ac:dyDescent="0.3">
      <c r="A24" s="5">
        <v>57</v>
      </c>
      <c r="B24" s="5" t="s">
        <v>168</v>
      </c>
      <c r="C24" s="5" t="s">
        <v>111</v>
      </c>
      <c r="D24" s="6">
        <v>43978</v>
      </c>
      <c r="E24" s="6">
        <v>43987</v>
      </c>
      <c r="F24" s="5">
        <f t="shared" si="0"/>
        <v>9</v>
      </c>
      <c r="G24" s="5" t="s">
        <v>19</v>
      </c>
      <c r="H24" s="5">
        <v>132</v>
      </c>
      <c r="I24" s="5">
        <v>129</v>
      </c>
      <c r="J24" s="5">
        <v>0.32</v>
      </c>
      <c r="K24" s="5">
        <f t="shared" si="7"/>
        <v>2.68</v>
      </c>
      <c r="L24" s="38">
        <v>0.93989999999999996</v>
      </c>
      <c r="M24" s="5">
        <f t="shared" si="8"/>
        <v>0.13969999999999985</v>
      </c>
      <c r="N24" s="5">
        <v>0</v>
      </c>
      <c r="O24" s="5">
        <f t="shared" si="9"/>
        <v>0.32</v>
      </c>
      <c r="P24" s="38">
        <f t="shared" si="3"/>
        <v>0.11940298507462686</v>
      </c>
      <c r="Q24" s="5">
        <v>1</v>
      </c>
      <c r="R24" s="5">
        <v>10</v>
      </c>
      <c r="S24" s="5">
        <f t="shared" si="4"/>
        <v>2680</v>
      </c>
      <c r="T24" s="5">
        <f>T23+S24</f>
        <v>9050</v>
      </c>
      <c r="U24" s="5">
        <f t="shared" si="5"/>
        <v>320</v>
      </c>
      <c r="V24" s="59">
        <f t="shared" si="6"/>
        <v>22940</v>
      </c>
    </row>
    <row r="25" spans="1:22" s="5" customFormat="1" ht="24" x14ac:dyDescent="0.3">
      <c r="A25" s="5">
        <v>58</v>
      </c>
      <c r="B25" s="5" t="s">
        <v>168</v>
      </c>
      <c r="C25" s="5" t="s">
        <v>9</v>
      </c>
      <c r="D25" s="6">
        <v>43979</v>
      </c>
      <c r="E25" s="6">
        <v>43985</v>
      </c>
      <c r="F25" s="5">
        <f t="shared" si="0"/>
        <v>6</v>
      </c>
      <c r="G25" s="5" t="s">
        <v>19</v>
      </c>
      <c r="H25" s="5">
        <v>292</v>
      </c>
      <c r="I25" s="5">
        <v>289</v>
      </c>
      <c r="J25" s="5">
        <v>0.31</v>
      </c>
      <c r="K25" s="5">
        <f t="shared" si="7"/>
        <v>2.69</v>
      </c>
      <c r="L25" s="38">
        <v>0.89700000000000002</v>
      </c>
      <c r="M25" s="5">
        <f t="shared" si="8"/>
        <v>1.0000000000000564E-3</v>
      </c>
      <c r="N25" s="5">
        <v>0</v>
      </c>
      <c r="O25" s="5">
        <f t="shared" si="9"/>
        <v>0.31</v>
      </c>
      <c r="P25" s="38">
        <f t="shared" si="3"/>
        <v>0.11524163568773234</v>
      </c>
      <c r="Q25" s="5">
        <v>1</v>
      </c>
      <c r="R25" s="5">
        <v>10</v>
      </c>
      <c r="S25" s="5">
        <f t="shared" si="4"/>
        <v>2690</v>
      </c>
      <c r="T25" s="5">
        <f>T13+S24+S25</f>
        <v>8120</v>
      </c>
      <c r="U25" s="5">
        <f t="shared" si="5"/>
        <v>310</v>
      </c>
      <c r="V25" s="59">
        <f t="shared" si="6"/>
        <v>23250</v>
      </c>
    </row>
    <row r="26" spans="1:22" s="5" customFormat="1" ht="24" x14ac:dyDescent="0.3">
      <c r="A26" s="5">
        <v>59</v>
      </c>
      <c r="B26" s="5" t="s">
        <v>169</v>
      </c>
      <c r="C26" s="5" t="s">
        <v>9</v>
      </c>
      <c r="D26" s="6">
        <v>43980</v>
      </c>
      <c r="E26" s="6">
        <v>43985</v>
      </c>
      <c r="F26" s="5">
        <f t="shared" si="0"/>
        <v>5</v>
      </c>
      <c r="G26" s="5" t="s">
        <v>19</v>
      </c>
      <c r="H26" s="5">
        <v>294</v>
      </c>
      <c r="I26" s="5">
        <v>291</v>
      </c>
      <c r="J26" s="5">
        <v>0.26</v>
      </c>
      <c r="K26" s="5">
        <f t="shared" si="7"/>
        <v>2.74</v>
      </c>
      <c r="L26" s="38">
        <v>0.91390000000000005</v>
      </c>
      <c r="M26" s="5">
        <f t="shared" si="8"/>
        <v>1.7000000000001181E-3</v>
      </c>
      <c r="N26" s="5">
        <v>0</v>
      </c>
      <c r="O26" s="5">
        <f t="shared" si="9"/>
        <v>0.26</v>
      </c>
      <c r="P26" s="38">
        <f t="shared" si="3"/>
        <v>9.4890510948905105E-2</v>
      </c>
      <c r="Q26" s="5">
        <v>1</v>
      </c>
      <c r="R26" s="5">
        <v>10</v>
      </c>
      <c r="S26" s="5">
        <f t="shared" si="4"/>
        <v>2740</v>
      </c>
      <c r="T26" s="5">
        <f>T25+S26</f>
        <v>10860</v>
      </c>
      <c r="U26" s="5">
        <f t="shared" si="5"/>
        <v>260</v>
      </c>
      <c r="V26" s="59">
        <f t="shared" si="6"/>
        <v>23510</v>
      </c>
    </row>
    <row r="27" spans="1:22" s="5" customFormat="1" ht="24" x14ac:dyDescent="0.3">
      <c r="A27" s="5">
        <v>60</v>
      </c>
      <c r="B27" s="5" t="s">
        <v>169</v>
      </c>
      <c r="C27" s="5" t="s">
        <v>111</v>
      </c>
      <c r="D27" s="6">
        <v>43985</v>
      </c>
      <c r="E27" s="6">
        <v>43994</v>
      </c>
      <c r="F27" s="5">
        <f t="shared" si="0"/>
        <v>9</v>
      </c>
      <c r="G27" s="5" t="s">
        <v>19</v>
      </c>
      <c r="H27" s="5">
        <v>132</v>
      </c>
      <c r="I27" s="5">
        <v>129</v>
      </c>
      <c r="J27" s="5">
        <v>0.26</v>
      </c>
      <c r="K27" s="5">
        <f t="shared" si="7"/>
        <v>2.74</v>
      </c>
      <c r="L27" s="38">
        <v>0.95820000000000005</v>
      </c>
      <c r="M27" s="5">
        <f t="shared" si="8"/>
        <v>0.13460000000000016</v>
      </c>
      <c r="N27" s="5">
        <v>0</v>
      </c>
      <c r="O27" s="5">
        <f t="shared" si="9"/>
        <v>0.26</v>
      </c>
      <c r="P27" s="38">
        <f t="shared" si="3"/>
        <v>9.4890510948905105E-2</v>
      </c>
      <c r="Q27" s="5">
        <v>1</v>
      </c>
      <c r="R27" s="5">
        <v>10</v>
      </c>
      <c r="S27" s="5">
        <f t="shared" si="4"/>
        <v>2740</v>
      </c>
      <c r="T27" s="5">
        <f>S25+S26+S27</f>
        <v>8170</v>
      </c>
      <c r="U27" s="5">
        <f t="shared" si="5"/>
        <v>260</v>
      </c>
      <c r="V27" s="59">
        <f t="shared" si="6"/>
        <v>23770</v>
      </c>
    </row>
    <row r="28" spans="1:22" s="22" customFormat="1" ht="24" x14ac:dyDescent="0.3">
      <c r="A28" s="48">
        <v>61</v>
      </c>
      <c r="B28" s="22" t="s">
        <v>168</v>
      </c>
      <c r="C28" s="22" t="s">
        <v>111</v>
      </c>
      <c r="D28" s="22">
        <v>43990</v>
      </c>
      <c r="E28" s="22">
        <v>43994</v>
      </c>
      <c r="F28" s="48">
        <f t="shared" si="0"/>
        <v>4</v>
      </c>
      <c r="G28" s="48" t="s">
        <v>19</v>
      </c>
      <c r="H28" s="48">
        <v>142</v>
      </c>
      <c r="I28" s="48">
        <v>139</v>
      </c>
      <c r="J28" s="48">
        <v>0.38</v>
      </c>
      <c r="K28" s="48">
        <f t="shared" si="7"/>
        <v>2.62</v>
      </c>
      <c r="L28" s="39">
        <v>0.98240000000000005</v>
      </c>
      <c r="M28" s="48">
        <f t="shared" si="8"/>
        <v>0.32720000000000016</v>
      </c>
      <c r="N28" s="48">
        <v>3</v>
      </c>
      <c r="O28" s="48">
        <f t="shared" si="9"/>
        <v>-2.62</v>
      </c>
      <c r="P28" s="39">
        <f t="shared" si="3"/>
        <v>-1</v>
      </c>
      <c r="Q28" s="48">
        <v>0</v>
      </c>
      <c r="R28" s="5">
        <v>10</v>
      </c>
      <c r="S28" s="5">
        <f t="shared" si="4"/>
        <v>2620.0000000000005</v>
      </c>
      <c r="T28" s="48">
        <f>S27+S28</f>
        <v>5360</v>
      </c>
      <c r="U28" s="48">
        <f t="shared" ref="U28:U29" si="10">O28*R28*100</f>
        <v>-2620.0000000000005</v>
      </c>
      <c r="V28" s="60">
        <f t="shared" si="6"/>
        <v>21150</v>
      </c>
    </row>
    <row r="29" spans="1:22" s="22" customFormat="1" ht="24" x14ac:dyDescent="0.3">
      <c r="A29" s="48">
        <v>62</v>
      </c>
      <c r="B29" s="22" t="s">
        <v>169</v>
      </c>
      <c r="C29" s="22" t="s">
        <v>9</v>
      </c>
      <c r="D29" s="22">
        <v>43991</v>
      </c>
      <c r="E29" s="22">
        <v>43994</v>
      </c>
      <c r="F29" s="48">
        <f t="shared" si="0"/>
        <v>3</v>
      </c>
      <c r="G29" s="48" t="s">
        <v>19</v>
      </c>
      <c r="H29" s="48">
        <v>309</v>
      </c>
      <c r="I29" s="48">
        <v>306</v>
      </c>
      <c r="J29" s="48">
        <v>0.25</v>
      </c>
      <c r="K29" s="48">
        <f t="shared" si="7"/>
        <v>2.75</v>
      </c>
      <c r="L29" s="39">
        <v>0.96809999999999996</v>
      </c>
      <c r="M29" s="48">
        <f t="shared" si="8"/>
        <v>0.15429999999999988</v>
      </c>
      <c r="N29" s="48">
        <v>3</v>
      </c>
      <c r="O29" s="48">
        <f t="shared" si="9"/>
        <v>-2.75</v>
      </c>
      <c r="P29" s="39">
        <f t="shared" si="3"/>
        <v>-1</v>
      </c>
      <c r="Q29" s="48">
        <v>0</v>
      </c>
      <c r="R29" s="5">
        <v>10</v>
      </c>
      <c r="S29" s="5">
        <f t="shared" si="4"/>
        <v>2750</v>
      </c>
      <c r="T29" s="48">
        <f>T28+S29</f>
        <v>8110</v>
      </c>
      <c r="U29" s="48">
        <f t="shared" si="10"/>
        <v>-2750</v>
      </c>
      <c r="V29" s="60">
        <f t="shared" si="6"/>
        <v>18400</v>
      </c>
    </row>
    <row r="30" spans="1:22" s="5" customFormat="1" ht="24" x14ac:dyDescent="0.3">
      <c r="A30" s="5">
        <v>63</v>
      </c>
      <c r="B30" s="5" t="s">
        <v>169</v>
      </c>
      <c r="C30" s="5" t="s">
        <v>9</v>
      </c>
      <c r="D30" s="6">
        <v>43999</v>
      </c>
      <c r="E30" s="6">
        <v>44001</v>
      </c>
      <c r="F30" s="5">
        <f t="shared" si="0"/>
        <v>2</v>
      </c>
      <c r="G30" s="5" t="s">
        <v>19</v>
      </c>
      <c r="H30" s="5">
        <v>299</v>
      </c>
      <c r="I30" s="5">
        <v>296</v>
      </c>
      <c r="J30" s="5">
        <v>0.23</v>
      </c>
      <c r="K30" s="5">
        <f t="shared" si="7"/>
        <v>2.77</v>
      </c>
      <c r="L30" s="38">
        <v>0.98009999999999997</v>
      </c>
      <c r="M30" s="5">
        <f t="shared" si="8"/>
        <v>0.17029999999999992</v>
      </c>
      <c r="N30" s="5">
        <v>0</v>
      </c>
      <c r="O30" s="5">
        <f t="shared" si="9"/>
        <v>0.23</v>
      </c>
      <c r="P30" s="38">
        <f t="shared" si="3"/>
        <v>8.3032490974729242E-2</v>
      </c>
      <c r="Q30" s="5">
        <v>1</v>
      </c>
      <c r="R30" s="5">
        <v>10</v>
      </c>
      <c r="S30" s="5">
        <f t="shared" si="4"/>
        <v>2770</v>
      </c>
      <c r="T30" s="5">
        <f>S30</f>
        <v>2770</v>
      </c>
      <c r="U30" s="5">
        <f t="shared" si="5"/>
        <v>230.00000000000003</v>
      </c>
      <c r="V30" s="59">
        <f t="shared" si="6"/>
        <v>18630</v>
      </c>
    </row>
    <row r="31" spans="1:22" s="5" customFormat="1" ht="24" x14ac:dyDescent="0.3">
      <c r="A31" s="5">
        <v>64</v>
      </c>
      <c r="B31" s="5" t="s">
        <v>187</v>
      </c>
      <c r="C31" s="5" t="s">
        <v>9</v>
      </c>
      <c r="D31" s="6">
        <v>44000</v>
      </c>
      <c r="E31" s="6">
        <v>44008</v>
      </c>
      <c r="F31" s="5">
        <f t="shared" si="0"/>
        <v>8</v>
      </c>
      <c r="G31" s="5" t="s">
        <v>19</v>
      </c>
      <c r="H31" s="5">
        <v>293</v>
      </c>
      <c r="I31" s="5">
        <v>290</v>
      </c>
      <c r="J31" s="5">
        <v>0.33</v>
      </c>
      <c r="K31" s="5">
        <f t="shared" si="7"/>
        <v>2.67</v>
      </c>
      <c r="L31" s="38">
        <v>0.94520000000000004</v>
      </c>
      <c r="M31" s="5">
        <f t="shared" si="8"/>
        <v>0.16560000000000014</v>
      </c>
      <c r="N31" s="5">
        <v>0</v>
      </c>
      <c r="O31" s="5">
        <f t="shared" si="9"/>
        <v>0.33</v>
      </c>
      <c r="P31" s="38">
        <f t="shared" si="3"/>
        <v>0.12359550561797754</v>
      </c>
      <c r="Q31" s="5">
        <v>1</v>
      </c>
      <c r="R31" s="5">
        <v>10</v>
      </c>
      <c r="S31" s="5">
        <f t="shared" si="4"/>
        <v>2670</v>
      </c>
      <c r="T31" s="5">
        <f>T30+S31</f>
        <v>5440</v>
      </c>
      <c r="U31" s="5">
        <f t="shared" si="5"/>
        <v>330</v>
      </c>
      <c r="V31" s="59">
        <f t="shared" si="6"/>
        <v>18960</v>
      </c>
    </row>
    <row r="32" spans="1:22" s="5" customFormat="1" ht="24" x14ac:dyDescent="0.3">
      <c r="A32" s="5">
        <v>65</v>
      </c>
      <c r="B32" s="5" t="s">
        <v>168</v>
      </c>
      <c r="C32" s="5" t="s">
        <v>111</v>
      </c>
      <c r="D32" s="6">
        <v>44001</v>
      </c>
      <c r="E32" s="6">
        <v>44008</v>
      </c>
      <c r="F32" s="5">
        <f t="shared" si="0"/>
        <v>7</v>
      </c>
      <c r="G32" s="5" t="s">
        <v>19</v>
      </c>
      <c r="H32" s="5">
        <v>129.5</v>
      </c>
      <c r="I32" s="5">
        <v>126.5</v>
      </c>
      <c r="J32" s="5">
        <v>0.36</v>
      </c>
      <c r="K32" s="5">
        <f t="shared" si="7"/>
        <v>2.64</v>
      </c>
      <c r="L32" s="38">
        <v>0.92800000000000005</v>
      </c>
      <c r="M32" s="5">
        <f t="shared" si="8"/>
        <v>0.1440000000000001</v>
      </c>
      <c r="N32" s="5">
        <v>0</v>
      </c>
      <c r="O32" s="5">
        <f>J32-N32</f>
        <v>0.36</v>
      </c>
      <c r="P32" s="38">
        <f t="shared" si="3"/>
        <v>0.13636363636363635</v>
      </c>
      <c r="Q32" s="5">
        <v>1</v>
      </c>
      <c r="R32" s="5">
        <v>10</v>
      </c>
      <c r="S32" s="5">
        <f t="shared" si="4"/>
        <v>2640</v>
      </c>
      <c r="T32" s="5">
        <f>S31+S32</f>
        <v>5310</v>
      </c>
      <c r="U32" s="5">
        <f t="shared" si="5"/>
        <v>359.99999999999994</v>
      </c>
      <c r="V32" s="59">
        <f t="shared" si="6"/>
        <v>19320</v>
      </c>
    </row>
    <row r="33" spans="1:22" s="5" customFormat="1" ht="24" x14ac:dyDescent="0.3">
      <c r="A33" s="5">
        <v>65</v>
      </c>
      <c r="B33" s="5" t="s">
        <v>187</v>
      </c>
      <c r="C33" s="5" t="s">
        <v>9</v>
      </c>
      <c r="D33" s="6">
        <v>44006</v>
      </c>
      <c r="E33" s="6">
        <v>44008</v>
      </c>
      <c r="F33" s="5">
        <f t="shared" si="0"/>
        <v>2</v>
      </c>
      <c r="G33" s="5" t="s">
        <v>19</v>
      </c>
      <c r="H33" s="5">
        <v>290</v>
      </c>
      <c r="I33" s="5">
        <v>287</v>
      </c>
      <c r="J33" s="5">
        <v>0.25</v>
      </c>
      <c r="K33" s="5">
        <f t="shared" si="7"/>
        <v>2.75</v>
      </c>
      <c r="L33" s="38">
        <v>0.99919999999999998</v>
      </c>
      <c r="M33" s="5">
        <f t="shared" si="8"/>
        <v>0.24759999999999993</v>
      </c>
      <c r="N33" s="5">
        <v>0</v>
      </c>
      <c r="O33" s="5">
        <f>J33-N33</f>
        <v>0.25</v>
      </c>
      <c r="P33" s="38">
        <f t="shared" si="3"/>
        <v>9.0909090909090912E-2</v>
      </c>
      <c r="Q33" s="5">
        <v>1</v>
      </c>
      <c r="R33" s="5">
        <v>10</v>
      </c>
      <c r="S33" s="5">
        <f t="shared" si="4"/>
        <v>2750</v>
      </c>
      <c r="T33" s="5">
        <f>T32+S33</f>
        <v>8060</v>
      </c>
      <c r="U33" s="5">
        <f t="shared" si="5"/>
        <v>250</v>
      </c>
      <c r="V33" s="59">
        <f t="shared" si="6"/>
        <v>19570</v>
      </c>
    </row>
    <row r="34" spans="1:22" s="5" customFormat="1" ht="24" x14ac:dyDescent="0.3">
      <c r="A34" s="5">
        <v>66</v>
      </c>
      <c r="B34" s="5" t="s">
        <v>24</v>
      </c>
      <c r="C34" s="5" t="s">
        <v>111</v>
      </c>
      <c r="D34" s="6">
        <v>44007</v>
      </c>
      <c r="E34" s="6">
        <v>44014</v>
      </c>
      <c r="F34" s="5">
        <f t="shared" si="0"/>
        <v>7</v>
      </c>
      <c r="G34" s="5" t="s">
        <v>19</v>
      </c>
      <c r="H34" s="5">
        <v>126</v>
      </c>
      <c r="I34" s="5">
        <v>123</v>
      </c>
      <c r="J34" s="5">
        <v>0.21</v>
      </c>
      <c r="K34" s="5">
        <f>H34-I34-J34</f>
        <v>2.79</v>
      </c>
      <c r="L34" s="38">
        <v>0.97719999999999996</v>
      </c>
      <c r="M34" s="5">
        <f>(J34*L34)+(-K34*(1-L34))</f>
        <v>0.14159999999999986</v>
      </c>
      <c r="N34" s="5">
        <v>0</v>
      </c>
      <c r="O34" s="5">
        <f>J34-N34</f>
        <v>0.21</v>
      </c>
      <c r="P34" s="38">
        <f t="shared" si="3"/>
        <v>7.5268817204301078E-2</v>
      </c>
      <c r="Q34" s="5">
        <v>1</v>
      </c>
      <c r="R34" s="5">
        <v>10</v>
      </c>
      <c r="S34" s="5">
        <f t="shared" si="4"/>
        <v>2790</v>
      </c>
      <c r="T34" s="5">
        <f>T33+S34</f>
        <v>10850</v>
      </c>
      <c r="U34" s="5">
        <f t="shared" si="5"/>
        <v>210</v>
      </c>
      <c r="V34" s="59">
        <f t="shared" si="6"/>
        <v>19780</v>
      </c>
    </row>
    <row r="35" spans="1:22" s="5" customFormat="1" ht="24" x14ac:dyDescent="0.3">
      <c r="A35" s="5">
        <v>67</v>
      </c>
      <c r="B35" s="5" t="s">
        <v>24</v>
      </c>
      <c r="C35" s="5" t="s">
        <v>23</v>
      </c>
      <c r="D35" s="6">
        <v>44008</v>
      </c>
      <c r="E35" s="6">
        <v>44014</v>
      </c>
      <c r="F35" s="5">
        <f t="shared" si="0"/>
        <v>6</v>
      </c>
      <c r="G35" s="5" t="s">
        <v>19</v>
      </c>
      <c r="H35" s="5">
        <v>225</v>
      </c>
      <c r="I35" s="5">
        <v>222</v>
      </c>
      <c r="J35" s="5">
        <v>0.18</v>
      </c>
      <c r="K35" s="5">
        <f>H35-I35-J35</f>
        <v>2.82</v>
      </c>
      <c r="L35" s="38">
        <v>0.98829999999999996</v>
      </c>
      <c r="M35" s="5">
        <f>(J35*L35)+(-K35*(1-L35))</f>
        <v>0.14489999999999986</v>
      </c>
      <c r="N35" s="5">
        <v>0</v>
      </c>
      <c r="O35" s="5">
        <f>J35-N35</f>
        <v>0.18</v>
      </c>
      <c r="P35" s="38">
        <f t="shared" si="3"/>
        <v>6.3829787234042548E-2</v>
      </c>
      <c r="Q35" s="5">
        <v>1</v>
      </c>
      <c r="R35" s="5">
        <v>10</v>
      </c>
      <c r="S35" s="5">
        <f t="shared" si="4"/>
        <v>2820</v>
      </c>
      <c r="T35" s="5">
        <f>T34+S35</f>
        <v>13670</v>
      </c>
      <c r="U35" s="5">
        <f t="shared" si="5"/>
        <v>179.99999999999997</v>
      </c>
      <c r="V35" s="59">
        <f t="shared" si="6"/>
        <v>19960</v>
      </c>
    </row>
    <row r="36" spans="1:22" x14ac:dyDescent="0.2">
      <c r="V36" s="61"/>
    </row>
    <row r="37" spans="1:22" ht="24" x14ac:dyDescent="0.3">
      <c r="P37" s="1" t="s">
        <v>198</v>
      </c>
      <c r="Q37" s="2">
        <f>AVERAGE(Q2:Q35)</f>
        <v>0.91176470588235292</v>
      </c>
      <c r="U37" s="1" t="s">
        <v>197</v>
      </c>
      <c r="V37" s="3">
        <f>V35-V1</f>
        <v>2420</v>
      </c>
    </row>
    <row r="38" spans="1:22" ht="24" x14ac:dyDescent="0.3">
      <c r="U38" s="1" t="s">
        <v>82</v>
      </c>
      <c r="V38" s="2">
        <f>V37/V1</f>
        <v>0.1379703534777651</v>
      </c>
    </row>
    <row r="40" spans="1:22" ht="24" x14ac:dyDescent="0.3">
      <c r="U40" s="1" t="s">
        <v>206</v>
      </c>
      <c r="V40" s="32">
        <f>6260+V37</f>
        <v>8680</v>
      </c>
    </row>
    <row r="41" spans="1:22" ht="24" x14ac:dyDescent="0.3">
      <c r="U41" s="1" t="s">
        <v>82</v>
      </c>
      <c r="V41" s="2">
        <f>V40/11500</f>
        <v>0.75478260869565217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D8A5-FACC-9F4C-931A-74F8709ACE52}">
  <dimension ref="A1:Y75"/>
  <sheetViews>
    <sheetView zoomScale="110" zoomScaleNormal="110" workbookViewId="0">
      <pane ySplit="3" topLeftCell="A65" activePane="bottomLeft" state="frozen"/>
      <selection pane="bottomLeft" activeCell="M70" sqref="M70"/>
    </sheetView>
  </sheetViews>
  <sheetFormatPr baseColWidth="10" defaultRowHeight="24" x14ac:dyDescent="0.3"/>
  <cols>
    <col min="1" max="1" width="11" style="1" bestFit="1" customWidth="1"/>
    <col min="2" max="2" width="12.5" style="1" customWidth="1"/>
    <col min="3" max="3" width="11.1640625" style="1" customWidth="1"/>
    <col min="4" max="4" width="12.83203125" style="1" bestFit="1" customWidth="1"/>
    <col min="5" max="5" width="21.1640625" style="1" bestFit="1" customWidth="1"/>
    <col min="6" max="6" width="19.1640625" style="1" customWidth="1"/>
    <col min="7" max="7" width="11.5" style="1" bestFit="1" customWidth="1"/>
    <col min="8" max="8" width="8.5" style="1" bestFit="1" customWidth="1"/>
    <col min="9" max="9" width="14" style="1" customWidth="1"/>
    <col min="10" max="10" width="12.6640625" style="1" bestFit="1" customWidth="1"/>
    <col min="11" max="11" width="13" style="1" bestFit="1" customWidth="1"/>
    <col min="12" max="12" width="15.1640625" style="1" bestFit="1" customWidth="1"/>
    <col min="13" max="13" width="18" style="1" bestFit="1" customWidth="1"/>
    <col min="14" max="14" width="15.6640625" style="1" bestFit="1" customWidth="1"/>
    <col min="15" max="15" width="15.6640625" style="1" customWidth="1"/>
    <col min="16" max="16" width="12.5" style="1" customWidth="1"/>
    <col min="17" max="17" width="13.83203125" style="1" bestFit="1" customWidth="1"/>
    <col min="18" max="18" width="10.5" style="1" bestFit="1" customWidth="1"/>
    <col min="19" max="19" width="17" style="1" bestFit="1" customWidth="1"/>
    <col min="20" max="20" width="17.33203125" style="1" bestFit="1" customWidth="1"/>
    <col min="21" max="21" width="25.1640625" style="1" bestFit="1" customWidth="1"/>
    <col min="22" max="22" width="14" style="1" bestFit="1" customWidth="1"/>
    <col min="23" max="23" width="35.33203125" style="1" bestFit="1" customWidth="1"/>
    <col min="24" max="16384" width="10.83203125" style="1"/>
  </cols>
  <sheetData>
    <row r="1" spans="1:25" customFormat="1" x14ac:dyDescent="0.3">
      <c r="F1" s="1" t="s">
        <v>138</v>
      </c>
      <c r="I1" s="1" t="s">
        <v>127</v>
      </c>
      <c r="J1" s="1"/>
      <c r="N1" s="1" t="s">
        <v>63</v>
      </c>
      <c r="O1" s="1"/>
      <c r="P1" s="1" t="s">
        <v>183</v>
      </c>
      <c r="Q1" s="1"/>
      <c r="R1" s="1" t="s">
        <v>70</v>
      </c>
      <c r="S1" s="1" t="s">
        <v>131</v>
      </c>
      <c r="T1" s="1" t="s">
        <v>132</v>
      </c>
      <c r="U1" s="1" t="s">
        <v>153</v>
      </c>
    </row>
    <row r="2" spans="1:25" x14ac:dyDescent="0.3">
      <c r="F2" s="51">
        <f>AVERAGE(F4:F68)</f>
        <v>45.555555555555557</v>
      </c>
      <c r="I2" s="43">
        <f>AVERAGE(I4:I68)</f>
        <v>3.4188888888888891</v>
      </c>
      <c r="N2" s="32">
        <f>SUM(N4:N71)*100</f>
        <v>972.00000000000023</v>
      </c>
      <c r="O2" s="33"/>
      <c r="P2" s="58">
        <f>AVERAGE(P4:P71)</f>
        <v>0.30729030763243048</v>
      </c>
      <c r="R2" s="2">
        <f>AVERAGE(R4:R71)</f>
        <v>0.33333333333333331</v>
      </c>
      <c r="S2" s="1">
        <f>AVERAGE(S4:S71)</f>
        <v>5.47</v>
      </c>
      <c r="T2" s="1">
        <f>AVERAGE(T4:T71)</f>
        <v>-1.9249999999999998</v>
      </c>
      <c r="U2" s="3">
        <f>((S2*R2)+(T2*(1-R2)))*100</f>
        <v>53.999999999999979</v>
      </c>
      <c r="V2" s="1">
        <f>T2*0.2</f>
        <v>-0.38500000000000001</v>
      </c>
      <c r="Y2" s="1" t="s">
        <v>133</v>
      </c>
    </row>
    <row r="3" spans="1:25" s="13" customFormat="1" x14ac:dyDescent="0.3">
      <c r="A3" s="13" t="s">
        <v>11</v>
      </c>
      <c r="B3" s="13" t="s">
        <v>8</v>
      </c>
      <c r="C3" s="13" t="s">
        <v>0</v>
      </c>
      <c r="D3" s="13" t="s">
        <v>1</v>
      </c>
      <c r="E3" s="13" t="s">
        <v>5</v>
      </c>
      <c r="F3" s="13" t="s">
        <v>136</v>
      </c>
      <c r="G3" s="13" t="s">
        <v>18</v>
      </c>
      <c r="H3" s="13" t="s">
        <v>15</v>
      </c>
      <c r="I3" s="13" t="s">
        <v>16</v>
      </c>
      <c r="J3" s="13" t="s">
        <v>128</v>
      </c>
      <c r="K3" s="13" t="s">
        <v>10</v>
      </c>
      <c r="L3" s="14" t="s">
        <v>13</v>
      </c>
      <c r="M3" s="13" t="s">
        <v>6</v>
      </c>
      <c r="N3" s="13" t="s">
        <v>7</v>
      </c>
      <c r="O3" s="13" t="s">
        <v>30</v>
      </c>
      <c r="P3" s="13" t="s">
        <v>182</v>
      </c>
      <c r="Q3" s="13" t="s">
        <v>82</v>
      </c>
      <c r="S3" s="13" t="s">
        <v>129</v>
      </c>
      <c r="T3" s="13" t="s">
        <v>130</v>
      </c>
      <c r="U3" s="13" t="s">
        <v>84</v>
      </c>
      <c r="V3" s="13" t="s">
        <v>85</v>
      </c>
      <c r="W3" s="13" t="s">
        <v>86</v>
      </c>
    </row>
    <row r="4" spans="1:25" s="21" customFormat="1" x14ac:dyDescent="0.3">
      <c r="A4" s="21">
        <v>1</v>
      </c>
      <c r="B4" s="21" t="s">
        <v>25</v>
      </c>
      <c r="C4" s="21" t="s">
        <v>26</v>
      </c>
      <c r="D4" s="22">
        <v>43481</v>
      </c>
      <c r="E4" s="22">
        <v>43511</v>
      </c>
      <c r="F4" s="48">
        <f>E4-D4</f>
        <v>30</v>
      </c>
      <c r="G4" s="21" t="s">
        <v>27</v>
      </c>
      <c r="H4" s="21">
        <v>97.5</v>
      </c>
      <c r="I4" s="21">
        <v>3.72</v>
      </c>
      <c r="K4" s="23">
        <v>3.72</v>
      </c>
      <c r="L4" s="24">
        <v>0.44679999999999997</v>
      </c>
      <c r="M4" s="21">
        <v>96.35</v>
      </c>
      <c r="N4" s="21">
        <v>-1.23</v>
      </c>
      <c r="O4" s="21">
        <v>4.4000000000000004</v>
      </c>
      <c r="P4" s="57">
        <f>1-(I4/O4)</f>
        <v>0.15454545454545454</v>
      </c>
      <c r="Q4" s="39">
        <f>N4/I4</f>
        <v>-0.33064516129032256</v>
      </c>
      <c r="R4" s="21">
        <f>IF(N4&gt;0,1,0)</f>
        <v>0</v>
      </c>
      <c r="S4" s="21" t="b">
        <f>IF(R4=1,N4)</f>
        <v>0</v>
      </c>
      <c r="T4" s="21">
        <f>IF(R4=0,N4)</f>
        <v>-1.23</v>
      </c>
      <c r="U4" s="21">
        <v>99.99</v>
      </c>
      <c r="V4" s="21">
        <f>ABS(U4-H4)</f>
        <v>2.4899999999999949</v>
      </c>
      <c r="W4" s="21">
        <f>V4-I4</f>
        <v>-1.2300000000000053</v>
      </c>
      <c r="Y4" s="21">
        <f>N4</f>
        <v>-1.23</v>
      </c>
    </row>
    <row r="6" spans="1:25" s="21" customFormat="1" x14ac:dyDescent="0.3">
      <c r="A6" s="21">
        <v>2</v>
      </c>
      <c r="B6" s="21" t="s">
        <v>17</v>
      </c>
      <c r="C6" s="21" t="s">
        <v>29</v>
      </c>
      <c r="D6" s="22">
        <v>43489</v>
      </c>
      <c r="E6" s="22">
        <v>43539</v>
      </c>
      <c r="F6" s="48">
        <f>E6-D6</f>
        <v>50</v>
      </c>
      <c r="G6" s="21" t="s">
        <v>27</v>
      </c>
      <c r="H6" s="21">
        <v>17</v>
      </c>
      <c r="I6" s="21">
        <v>0.9</v>
      </c>
      <c r="K6" s="26">
        <v>90</v>
      </c>
      <c r="L6" s="24">
        <v>0.45</v>
      </c>
      <c r="M6" s="21">
        <v>17.04</v>
      </c>
      <c r="N6" s="21">
        <v>-0.72</v>
      </c>
      <c r="O6" s="21">
        <v>1.29</v>
      </c>
      <c r="P6" s="57">
        <f>1-(I6/O6)</f>
        <v>0.30232558139534882</v>
      </c>
      <c r="Q6" s="39">
        <f>N6/I6</f>
        <v>-0.79999999999999993</v>
      </c>
      <c r="R6" s="21">
        <f>IF(N6&gt;0,1,0)</f>
        <v>0</v>
      </c>
      <c r="S6" s="21" t="b">
        <f>IF(R6=1,N6)</f>
        <v>0</v>
      </c>
      <c r="T6" s="21">
        <f>IF(R6=0,N6)</f>
        <v>-0.72</v>
      </c>
      <c r="U6" s="21">
        <v>16.82</v>
      </c>
      <c r="V6" s="21">
        <f>ABS(U6-H6)</f>
        <v>0.17999999999999972</v>
      </c>
      <c r="W6" s="21">
        <f>V6-I6</f>
        <v>-0.72000000000000031</v>
      </c>
      <c r="Y6" s="21">
        <f>Y4+N6</f>
        <v>-1.95</v>
      </c>
    </row>
    <row r="7" spans="1:25" x14ac:dyDescent="0.3">
      <c r="K7" s="25"/>
    </row>
    <row r="8" spans="1:25" s="5" customFormat="1" x14ac:dyDescent="0.3">
      <c r="A8" s="5">
        <v>3</v>
      </c>
      <c r="B8" s="5" t="s">
        <v>43</v>
      </c>
      <c r="C8" s="5" t="s">
        <v>44</v>
      </c>
      <c r="D8" s="6">
        <v>43521</v>
      </c>
      <c r="E8" s="6">
        <v>43553</v>
      </c>
      <c r="F8" s="41">
        <f>E8-D8</f>
        <v>32</v>
      </c>
      <c r="G8" s="5" t="s">
        <v>27</v>
      </c>
      <c r="H8" s="5">
        <v>175</v>
      </c>
      <c r="I8" s="5">
        <v>8.25</v>
      </c>
      <c r="K8" s="31">
        <v>825</v>
      </c>
      <c r="L8" s="7">
        <v>0.42030000000000001</v>
      </c>
      <c r="M8" s="5">
        <v>189.95</v>
      </c>
      <c r="N8" s="29">
        <v>6.7</v>
      </c>
      <c r="O8" s="29">
        <v>10.57</v>
      </c>
      <c r="P8" s="38">
        <f>1-(I8/O8)</f>
        <v>0.21948912015137179</v>
      </c>
      <c r="Q8" s="38">
        <f>N8/I8</f>
        <v>0.81212121212121213</v>
      </c>
      <c r="R8" s="5">
        <f>IF(N8&gt;0,1,0)</f>
        <v>1</v>
      </c>
      <c r="S8" s="5">
        <f>IF(R8=1,N8)</f>
        <v>6.7</v>
      </c>
      <c r="T8" s="5" t="b">
        <f>IF(R8=0,N8)</f>
        <v>0</v>
      </c>
      <c r="U8" s="5">
        <v>189.95</v>
      </c>
      <c r="V8" s="5">
        <f>ABS(U8-H8)</f>
        <v>14.949999999999989</v>
      </c>
      <c r="W8" s="5">
        <f>V8-I8</f>
        <v>6.6999999999999886</v>
      </c>
      <c r="Y8" s="5">
        <f>Y6+N8</f>
        <v>4.75</v>
      </c>
    </row>
    <row r="9" spans="1:25" x14ac:dyDescent="0.3">
      <c r="Q9" s="2"/>
    </row>
    <row r="10" spans="1:25" s="21" customFormat="1" x14ac:dyDescent="0.3">
      <c r="A10" s="21">
        <v>4</v>
      </c>
      <c r="B10" s="21" t="s">
        <v>24</v>
      </c>
      <c r="C10" s="21" t="s">
        <v>49</v>
      </c>
      <c r="D10" s="22">
        <v>43532</v>
      </c>
      <c r="E10" s="22">
        <v>43581</v>
      </c>
      <c r="F10" s="48">
        <f>E10-D10</f>
        <v>49</v>
      </c>
      <c r="G10" s="21" t="s">
        <v>27</v>
      </c>
      <c r="H10" s="21">
        <v>38.5</v>
      </c>
      <c r="I10" s="21">
        <v>4.0999999999999996</v>
      </c>
      <c r="K10" s="28">
        <v>410</v>
      </c>
      <c r="L10" s="24">
        <v>0.40620000000000001</v>
      </c>
      <c r="M10" s="21">
        <v>38.549999999999997</v>
      </c>
      <c r="N10" s="27">
        <v>-4.05</v>
      </c>
      <c r="O10" s="21">
        <v>6.06</v>
      </c>
      <c r="P10" s="57">
        <f>1-(I10/O10)</f>
        <v>0.32343234323432346</v>
      </c>
      <c r="Q10" s="39">
        <f>N10/I10</f>
        <v>-0.98780487804878048</v>
      </c>
      <c r="R10" s="21">
        <f>IF(N10&gt;0,1,0)</f>
        <v>0</v>
      </c>
      <c r="S10" s="21" t="b">
        <f>IF(R10=1,N10)</f>
        <v>0</v>
      </c>
      <c r="T10" s="21">
        <f>IF(R10=0,N10)</f>
        <v>-4.05</v>
      </c>
      <c r="U10" s="21">
        <v>38.549999999999997</v>
      </c>
      <c r="V10" s="21">
        <f>ABS(U10-H10)</f>
        <v>4.9999999999997158E-2</v>
      </c>
      <c r="W10" s="21">
        <f>V10-I10</f>
        <v>-4.0500000000000025</v>
      </c>
      <c r="Y10" s="21">
        <f>Y8+N10</f>
        <v>0.70000000000000018</v>
      </c>
    </row>
    <row r="11" spans="1:25" x14ac:dyDescent="0.3">
      <c r="Q11" s="2"/>
    </row>
    <row r="12" spans="1:25" s="5" customFormat="1" x14ac:dyDescent="0.3">
      <c r="A12" s="5">
        <v>5</v>
      </c>
      <c r="B12" s="5" t="s">
        <v>51</v>
      </c>
      <c r="C12" s="5" t="s">
        <v>52</v>
      </c>
      <c r="D12" s="6">
        <v>43542</v>
      </c>
      <c r="E12" s="6">
        <v>43602</v>
      </c>
      <c r="F12" s="41">
        <f>E12-D12</f>
        <v>60</v>
      </c>
      <c r="G12" s="5" t="s">
        <v>27</v>
      </c>
      <c r="H12" s="5">
        <v>13</v>
      </c>
      <c r="I12" s="5">
        <v>1.62</v>
      </c>
      <c r="K12" s="30">
        <v>162</v>
      </c>
      <c r="L12" s="7">
        <v>0.37269999999999998</v>
      </c>
      <c r="M12" s="5">
        <v>10.37</v>
      </c>
      <c r="N12" s="5">
        <v>1.01</v>
      </c>
      <c r="O12" s="29">
        <v>2.5299999999999998</v>
      </c>
      <c r="P12" s="38">
        <f>1-(I12/O12)</f>
        <v>0.35968379446640308</v>
      </c>
      <c r="Q12" s="38">
        <f>N12/I12</f>
        <v>0.62345679012345678</v>
      </c>
      <c r="R12" s="5">
        <f>IF(N12&gt;0,1,0)</f>
        <v>1</v>
      </c>
      <c r="S12" s="5">
        <f>IF(R12=1,N12)</f>
        <v>1.01</v>
      </c>
      <c r="T12" s="5" t="b">
        <f>IF(R12=0,N12)</f>
        <v>0</v>
      </c>
      <c r="U12" s="5">
        <v>10.37</v>
      </c>
      <c r="V12" s="5">
        <f>ABS(U12-H12)</f>
        <v>2.6300000000000008</v>
      </c>
      <c r="W12" s="5">
        <f>V12-I12</f>
        <v>1.0100000000000007</v>
      </c>
      <c r="Y12" s="5">
        <f>Y10+N12</f>
        <v>1.7100000000000002</v>
      </c>
    </row>
    <row r="14" spans="1:25" s="21" customFormat="1" x14ac:dyDescent="0.3">
      <c r="A14" s="21">
        <v>6</v>
      </c>
      <c r="B14" s="21" t="s">
        <v>43</v>
      </c>
      <c r="C14" s="21" t="s">
        <v>74</v>
      </c>
      <c r="D14" s="22">
        <v>43570</v>
      </c>
      <c r="E14" s="22">
        <v>43609</v>
      </c>
      <c r="F14" s="48">
        <f>E14-D14</f>
        <v>39</v>
      </c>
      <c r="G14" s="21" t="s">
        <v>27</v>
      </c>
      <c r="H14" s="21">
        <v>19.5</v>
      </c>
      <c r="I14" s="21">
        <v>1.19</v>
      </c>
      <c r="K14" s="28">
        <v>119</v>
      </c>
      <c r="L14" s="24">
        <v>0.35460000000000003</v>
      </c>
      <c r="M14" s="21">
        <v>19.79</v>
      </c>
      <c r="N14" s="21">
        <v>-0.63</v>
      </c>
      <c r="O14" s="21">
        <v>1.68</v>
      </c>
      <c r="P14" s="57">
        <f>1-(I14/O14)</f>
        <v>0.29166666666666663</v>
      </c>
      <c r="Q14" s="39">
        <f>N14/I14</f>
        <v>-0.52941176470588236</v>
      </c>
      <c r="R14" s="21">
        <f>IF(N14&gt;0,1,0)</f>
        <v>0</v>
      </c>
      <c r="S14" s="21" t="b">
        <f>IF(R14=1,N14)</f>
        <v>0</v>
      </c>
      <c r="T14" s="21">
        <f>IF(R14=0,N14)</f>
        <v>-0.63</v>
      </c>
      <c r="U14" s="21">
        <v>20.059999999999999</v>
      </c>
      <c r="V14" s="21">
        <f>ABS(U14-H14)</f>
        <v>0.55999999999999872</v>
      </c>
      <c r="W14" s="21">
        <f>V14-I14</f>
        <v>-0.63000000000000123</v>
      </c>
      <c r="Y14" s="21">
        <f>Y12+N14</f>
        <v>1.08</v>
      </c>
    </row>
    <row r="16" spans="1:25" s="21" customFormat="1" x14ac:dyDescent="0.3">
      <c r="A16" s="21">
        <v>7</v>
      </c>
      <c r="B16" s="21" t="s">
        <v>24</v>
      </c>
      <c r="C16" s="21" t="s">
        <v>72</v>
      </c>
      <c r="D16" s="22">
        <v>43563</v>
      </c>
      <c r="E16" s="22">
        <v>43693</v>
      </c>
      <c r="F16" s="48">
        <f>E16-D16</f>
        <v>130</v>
      </c>
      <c r="G16" s="21" t="s">
        <v>27</v>
      </c>
      <c r="H16" s="21">
        <v>27</v>
      </c>
      <c r="I16" s="21">
        <v>5.7</v>
      </c>
      <c r="K16" s="28">
        <v>570</v>
      </c>
      <c r="L16" s="24">
        <v>0.41310000000000002</v>
      </c>
      <c r="M16" s="21">
        <v>0</v>
      </c>
      <c r="O16" s="21">
        <v>8.3699999999999992</v>
      </c>
      <c r="P16" s="57">
        <f>1-(I16/O16)</f>
        <v>0.31899641577060922</v>
      </c>
      <c r="U16" s="21">
        <v>27</v>
      </c>
      <c r="V16" s="21">
        <f>ABS(U16-H16)</f>
        <v>0</v>
      </c>
      <c r="W16" s="21">
        <f>V16-I16</f>
        <v>-5.7</v>
      </c>
    </row>
    <row r="17" spans="1:25" s="21" customFormat="1" x14ac:dyDescent="0.3">
      <c r="D17" s="22">
        <v>43572</v>
      </c>
      <c r="E17" s="22">
        <v>43693</v>
      </c>
      <c r="F17" s="22"/>
      <c r="G17" s="21" t="s">
        <v>19</v>
      </c>
      <c r="H17" s="21">
        <v>27</v>
      </c>
      <c r="K17" s="28"/>
      <c r="L17" s="24"/>
      <c r="M17" s="21">
        <v>3.7</v>
      </c>
      <c r="Q17" s="39"/>
    </row>
    <row r="18" spans="1:25" s="21" customFormat="1" x14ac:dyDescent="0.3">
      <c r="D18" s="22">
        <v>43572</v>
      </c>
      <c r="E18" s="22">
        <v>43693</v>
      </c>
      <c r="F18" s="22"/>
      <c r="H18" s="21">
        <v>25</v>
      </c>
      <c r="J18" s="21">
        <v>2.75</v>
      </c>
      <c r="K18" s="28"/>
      <c r="L18" s="24"/>
      <c r="M18" s="21">
        <v>0</v>
      </c>
      <c r="Q18" s="39"/>
    </row>
    <row r="19" spans="1:25" s="21" customFormat="1" x14ac:dyDescent="0.3">
      <c r="D19" s="22"/>
      <c r="E19" s="22"/>
      <c r="F19" s="22"/>
      <c r="J19" s="21">
        <f>SUM(I16:J18)</f>
        <v>8.4499999999999993</v>
      </c>
      <c r="K19" s="28"/>
      <c r="L19" s="24"/>
      <c r="M19" s="21">
        <f>SUM(M16:M18)</f>
        <v>3.7</v>
      </c>
      <c r="N19" s="21">
        <f>M19-J19</f>
        <v>-4.7499999999999991</v>
      </c>
      <c r="P19" s="57"/>
      <c r="Q19" s="39">
        <f>N19/I16</f>
        <v>-0.83333333333333315</v>
      </c>
      <c r="R19" s="21">
        <v>0</v>
      </c>
      <c r="S19" s="21" t="b">
        <f>IF(R19=1,N19)</f>
        <v>0</v>
      </c>
      <c r="T19" s="21">
        <f>IF(R19=0,N19)</f>
        <v>-4.7499999999999991</v>
      </c>
      <c r="Y19" s="21">
        <f>Y14+N19</f>
        <v>-3.669999999999999</v>
      </c>
    </row>
    <row r="21" spans="1:25" s="5" customFormat="1" x14ac:dyDescent="0.3">
      <c r="A21" s="5">
        <v>8</v>
      </c>
      <c r="B21" s="5" t="s">
        <v>100</v>
      </c>
      <c r="C21" s="5" t="s">
        <v>101</v>
      </c>
      <c r="D21" s="6">
        <v>43654</v>
      </c>
      <c r="E21" s="6">
        <v>43686</v>
      </c>
      <c r="F21" s="41">
        <f>E21-D21</f>
        <v>32</v>
      </c>
      <c r="G21" s="5" t="s">
        <v>27</v>
      </c>
      <c r="H21" s="5">
        <v>21</v>
      </c>
      <c r="I21" s="5">
        <v>1.1200000000000001</v>
      </c>
      <c r="K21" s="30">
        <v>112</v>
      </c>
      <c r="L21" s="7">
        <v>0.40310000000000001</v>
      </c>
      <c r="M21" s="5">
        <v>1.72</v>
      </c>
      <c r="N21" s="5">
        <f>M21-I21</f>
        <v>0.59999999999999987</v>
      </c>
      <c r="O21" s="29">
        <v>1.81</v>
      </c>
      <c r="P21" s="38">
        <f>1-(I21/O21)</f>
        <v>0.38121546961325958</v>
      </c>
      <c r="Q21" s="38">
        <f>N21/I21</f>
        <v>0.53571428571428559</v>
      </c>
      <c r="R21" s="5">
        <v>1</v>
      </c>
      <c r="S21" s="5">
        <f>IF(R21=1,N21)</f>
        <v>0.59999999999999987</v>
      </c>
      <c r="T21" s="5" t="b">
        <f>IF(R21=0,N21)</f>
        <v>0</v>
      </c>
      <c r="U21" s="5">
        <v>19.28</v>
      </c>
      <c r="V21" s="5">
        <f>ABS(U21-H21)</f>
        <v>1.7199999999999989</v>
      </c>
      <c r="W21" s="5">
        <f>V21-I21</f>
        <v>0.59999999999999876</v>
      </c>
      <c r="Y21" s="5">
        <f>Y19+N21</f>
        <v>-3.0699999999999994</v>
      </c>
    </row>
    <row r="22" spans="1:25" x14ac:dyDescent="0.3">
      <c r="K22" s="3"/>
    </row>
    <row r="23" spans="1:25" s="21" customFormat="1" x14ac:dyDescent="0.3">
      <c r="A23" s="21">
        <v>9</v>
      </c>
      <c r="B23" s="21" t="s">
        <v>100</v>
      </c>
      <c r="C23" s="21" t="s">
        <v>106</v>
      </c>
      <c r="D23" s="22">
        <v>43671</v>
      </c>
      <c r="E23" s="22">
        <v>43728</v>
      </c>
      <c r="F23" s="48">
        <f>E23-D23</f>
        <v>57</v>
      </c>
      <c r="G23" s="21" t="s">
        <v>27</v>
      </c>
      <c r="H23" s="21">
        <v>20</v>
      </c>
      <c r="I23" s="21">
        <v>1.25</v>
      </c>
      <c r="K23" s="28">
        <v>125</v>
      </c>
      <c r="L23" s="24">
        <v>0.35460000000000003</v>
      </c>
      <c r="M23" s="21">
        <v>0</v>
      </c>
      <c r="R23" s="21">
        <v>0</v>
      </c>
      <c r="U23" s="21">
        <v>18.84</v>
      </c>
      <c r="V23" s="21">
        <f>ABS(U23-H23)</f>
        <v>1.1600000000000001</v>
      </c>
      <c r="W23" s="21">
        <f>V23-I23</f>
        <v>-8.9999999999999858E-2</v>
      </c>
    </row>
    <row r="24" spans="1:25" s="21" customFormat="1" x14ac:dyDescent="0.3">
      <c r="D24" s="22">
        <v>43685</v>
      </c>
      <c r="E24" s="22">
        <v>43728</v>
      </c>
      <c r="F24" s="22"/>
      <c r="G24" s="21" t="s">
        <v>19</v>
      </c>
      <c r="H24" s="21">
        <v>20</v>
      </c>
      <c r="M24" s="21">
        <v>0.9</v>
      </c>
    </row>
    <row r="25" spans="1:25" s="21" customFormat="1" x14ac:dyDescent="0.3">
      <c r="D25" s="22">
        <v>43685</v>
      </c>
      <c r="E25" s="22">
        <v>43728</v>
      </c>
      <c r="F25" s="22"/>
      <c r="G25" s="21" t="s">
        <v>19</v>
      </c>
      <c r="H25" s="21">
        <v>17.5</v>
      </c>
      <c r="M25" s="21">
        <v>0</v>
      </c>
    </row>
    <row r="26" spans="1:25" s="21" customFormat="1" x14ac:dyDescent="0.3">
      <c r="J26" s="21">
        <f>SUM(I23:I25)</f>
        <v>1.25</v>
      </c>
      <c r="M26" s="21">
        <f>SUM(M23:M25)</f>
        <v>0.9</v>
      </c>
      <c r="N26" s="27">
        <f>M26-J26</f>
        <v>-0.35</v>
      </c>
      <c r="Q26" s="24">
        <f>N26/I23</f>
        <v>-0.27999999999999997</v>
      </c>
      <c r="S26" s="21" t="b">
        <f>IF(R26=1,N26)</f>
        <v>0</v>
      </c>
      <c r="T26" s="21">
        <f>IF(R26=0,N26)</f>
        <v>-0.35</v>
      </c>
      <c r="Y26" s="27">
        <f>Y21+N26</f>
        <v>-3.4199999999999995</v>
      </c>
    </row>
    <row r="28" spans="1:25" s="21" customFormat="1" x14ac:dyDescent="0.3">
      <c r="A28" s="21">
        <v>10</v>
      </c>
      <c r="B28" s="21" t="s">
        <v>100</v>
      </c>
      <c r="C28" s="21" t="s">
        <v>112</v>
      </c>
      <c r="D28" s="22">
        <v>43717</v>
      </c>
      <c r="E28" s="22">
        <v>43756</v>
      </c>
      <c r="F28" s="48">
        <f>E28-D28</f>
        <v>39</v>
      </c>
      <c r="G28" s="21" t="s">
        <v>27</v>
      </c>
      <c r="H28" s="21">
        <v>35</v>
      </c>
      <c r="I28" s="21">
        <v>1.8</v>
      </c>
      <c r="K28" s="21">
        <v>180</v>
      </c>
      <c r="L28" s="39">
        <v>0.42249999999999999</v>
      </c>
      <c r="O28" s="21">
        <v>2.5099999999999998</v>
      </c>
      <c r="P28" s="57">
        <f>1-(I28/O28)</f>
        <v>0.28286852589641431</v>
      </c>
      <c r="U28" s="21">
        <v>36.11</v>
      </c>
      <c r="V28" s="21">
        <f>ABS(U28-H28)</f>
        <v>1.1099999999999994</v>
      </c>
      <c r="W28" s="21">
        <f>V28-I28</f>
        <v>-0.69000000000000061</v>
      </c>
    </row>
    <row r="29" spans="1:25" s="21" customFormat="1" x14ac:dyDescent="0.3">
      <c r="D29" s="22"/>
      <c r="E29" s="22">
        <v>43756</v>
      </c>
      <c r="F29" s="22"/>
      <c r="G29" s="21" t="s">
        <v>20</v>
      </c>
      <c r="H29" s="21">
        <v>35</v>
      </c>
      <c r="L29" s="39"/>
      <c r="M29" s="21">
        <v>1.1100000000000001</v>
      </c>
    </row>
    <row r="30" spans="1:25" s="21" customFormat="1" x14ac:dyDescent="0.3">
      <c r="D30" s="22"/>
      <c r="E30" s="22">
        <v>43756</v>
      </c>
      <c r="F30" s="22"/>
      <c r="G30" s="21" t="s">
        <v>19</v>
      </c>
      <c r="H30" s="21">
        <v>35</v>
      </c>
      <c r="L30" s="39"/>
      <c r="M30" s="21">
        <v>0</v>
      </c>
    </row>
    <row r="31" spans="1:25" s="21" customFormat="1" x14ac:dyDescent="0.3">
      <c r="D31" s="22"/>
      <c r="E31" s="22"/>
      <c r="F31" s="22"/>
      <c r="J31" s="21">
        <f>SUM(I28:I30)</f>
        <v>1.8</v>
      </c>
      <c r="L31" s="39"/>
      <c r="M31" s="21">
        <f>SUM(M28:M30)</f>
        <v>1.1100000000000001</v>
      </c>
      <c r="N31" s="21">
        <f>M31-J31</f>
        <v>-0.69</v>
      </c>
      <c r="Q31" s="39">
        <f>N31/I28</f>
        <v>-0.3833333333333333</v>
      </c>
      <c r="R31" s="21">
        <v>0</v>
      </c>
      <c r="S31" s="21" t="b">
        <f>IF(R31=1,N31)</f>
        <v>0</v>
      </c>
      <c r="T31" s="21">
        <f>IF(R31=0,N31)</f>
        <v>-0.69</v>
      </c>
      <c r="Y31" s="27">
        <f>Y26+N31</f>
        <v>-4.1099999999999994</v>
      </c>
    </row>
    <row r="32" spans="1:25" x14ac:dyDescent="0.3">
      <c r="D32" s="4"/>
      <c r="E32" s="4"/>
      <c r="F32" s="4"/>
      <c r="L32" s="2"/>
      <c r="Q32" s="2"/>
    </row>
    <row r="33" spans="1:25" s="21" customFormat="1" x14ac:dyDescent="0.3">
      <c r="A33" s="21">
        <v>11</v>
      </c>
      <c r="B33" s="21" t="s">
        <v>114</v>
      </c>
      <c r="C33" s="21" t="s">
        <v>113</v>
      </c>
      <c r="D33" s="22">
        <v>43731</v>
      </c>
      <c r="E33" s="22">
        <v>43763</v>
      </c>
      <c r="F33" s="48">
        <f>E33-D33</f>
        <v>32</v>
      </c>
      <c r="G33" s="21" t="s">
        <v>18</v>
      </c>
      <c r="H33" s="21">
        <v>31</v>
      </c>
      <c r="I33" s="21">
        <v>3.88</v>
      </c>
      <c r="K33" s="21">
        <v>388</v>
      </c>
      <c r="L33" s="39">
        <v>0.37890000000000001</v>
      </c>
      <c r="O33" s="21">
        <v>4.8600000000000003</v>
      </c>
      <c r="P33" s="57">
        <f>1-(I33/O33)</f>
        <v>0.20164609053497951</v>
      </c>
      <c r="Q33" s="39"/>
      <c r="U33" s="21">
        <v>32.71</v>
      </c>
      <c r="V33" s="21">
        <f>ABS(U33-H33)</f>
        <v>1.7100000000000009</v>
      </c>
      <c r="W33" s="21">
        <f>V33-I33</f>
        <v>-2.169999999999999</v>
      </c>
    </row>
    <row r="34" spans="1:25" s="21" customFormat="1" x14ac:dyDescent="0.3">
      <c r="E34" s="22">
        <v>43763</v>
      </c>
      <c r="F34" s="22"/>
      <c r="G34" s="21" t="s">
        <v>20</v>
      </c>
      <c r="H34" s="21">
        <v>31</v>
      </c>
      <c r="M34" s="21">
        <v>1.71</v>
      </c>
      <c r="Q34" s="39"/>
    </row>
    <row r="35" spans="1:25" s="21" customFormat="1" x14ac:dyDescent="0.3">
      <c r="E35" s="22">
        <v>43763</v>
      </c>
      <c r="F35" s="22"/>
      <c r="G35" s="21" t="s">
        <v>19</v>
      </c>
      <c r="H35" s="21">
        <v>31</v>
      </c>
      <c r="M35" s="21">
        <v>0</v>
      </c>
      <c r="Q35" s="39"/>
    </row>
    <row r="36" spans="1:25" s="21" customFormat="1" x14ac:dyDescent="0.3">
      <c r="J36" s="21">
        <f>SUM(I33:I35)</f>
        <v>3.88</v>
      </c>
      <c r="M36" s="21">
        <f>SUM(M33:M35)</f>
        <v>1.71</v>
      </c>
      <c r="N36" s="21">
        <f>M36-J36</f>
        <v>-2.17</v>
      </c>
      <c r="Q36" s="39">
        <f>N36/I33</f>
        <v>-0.55927835051546393</v>
      </c>
      <c r="R36" s="21">
        <v>0</v>
      </c>
      <c r="S36" s="21" t="b">
        <f>IF(R36=1,N36)</f>
        <v>0</v>
      </c>
      <c r="T36" s="21">
        <f>IF(R36=0,N36)</f>
        <v>-2.17</v>
      </c>
      <c r="Y36" s="27">
        <f>Y31+N36</f>
        <v>-6.2799999999999994</v>
      </c>
    </row>
    <row r="38" spans="1:25" s="5" customFormat="1" x14ac:dyDescent="0.3">
      <c r="A38" s="5">
        <v>12</v>
      </c>
      <c r="B38" s="5" t="s">
        <v>116</v>
      </c>
      <c r="C38" s="5" t="s">
        <v>117</v>
      </c>
      <c r="D38" s="6">
        <v>43759</v>
      </c>
      <c r="E38" s="6">
        <v>43791</v>
      </c>
      <c r="F38" s="41">
        <f>E38-D38</f>
        <v>32</v>
      </c>
      <c r="G38" s="5" t="s">
        <v>18</v>
      </c>
      <c r="H38" s="5">
        <v>78</v>
      </c>
      <c r="I38" s="5">
        <v>4.68</v>
      </c>
      <c r="K38" s="5">
        <v>468</v>
      </c>
      <c r="L38" s="7">
        <v>0.40720000000000001</v>
      </c>
      <c r="O38" s="5">
        <v>5.51</v>
      </c>
      <c r="P38" s="38">
        <f>1-(I38/O38)</f>
        <v>0.15063520871143377</v>
      </c>
      <c r="U38" s="5">
        <v>86.05</v>
      </c>
      <c r="V38" s="5">
        <f>ABS(U38-H38)</f>
        <v>8.0499999999999972</v>
      </c>
      <c r="W38" s="5">
        <f>V38-I38</f>
        <v>3.3699999999999974</v>
      </c>
    </row>
    <row r="39" spans="1:25" s="5" customFormat="1" x14ac:dyDescent="0.3">
      <c r="E39" s="6">
        <v>43791</v>
      </c>
      <c r="F39" s="6"/>
      <c r="G39" s="5" t="s">
        <v>20</v>
      </c>
      <c r="H39" s="5">
        <v>78</v>
      </c>
      <c r="M39" s="5">
        <v>8.0500000000000007</v>
      </c>
    </row>
    <row r="40" spans="1:25" s="5" customFormat="1" x14ac:dyDescent="0.3">
      <c r="E40" s="6">
        <v>43791</v>
      </c>
      <c r="F40" s="6"/>
      <c r="G40" s="5" t="s">
        <v>19</v>
      </c>
      <c r="H40" s="5">
        <v>78</v>
      </c>
      <c r="M40" s="5">
        <v>0</v>
      </c>
    </row>
    <row r="41" spans="1:25" s="5" customFormat="1" x14ac:dyDescent="0.3">
      <c r="J41" s="5">
        <f>SUM(I38:I40)</f>
        <v>4.68</v>
      </c>
      <c r="M41" s="5">
        <f>SUM(M38:M40)</f>
        <v>8.0500000000000007</v>
      </c>
      <c r="N41" s="5">
        <f>M41-J41</f>
        <v>3.370000000000001</v>
      </c>
      <c r="O41" s="29"/>
      <c r="Q41" s="7">
        <f>N41/I38</f>
        <v>0.7200854700854703</v>
      </c>
      <c r="R41" s="5">
        <v>1</v>
      </c>
      <c r="S41" s="5">
        <f>IF(R41=1,N41)</f>
        <v>3.370000000000001</v>
      </c>
      <c r="T41" s="5" t="b">
        <f>IF(R41=0,N41)</f>
        <v>0</v>
      </c>
      <c r="Y41" s="29">
        <f>Y36+N41</f>
        <v>-2.9099999999999984</v>
      </c>
    </row>
    <row r="43" spans="1:25" s="21" customFormat="1" x14ac:dyDescent="0.3">
      <c r="A43" s="21">
        <v>13</v>
      </c>
      <c r="B43" s="21" t="s">
        <v>118</v>
      </c>
      <c r="C43" s="21" t="s">
        <v>119</v>
      </c>
      <c r="D43" s="22">
        <v>43763</v>
      </c>
      <c r="E43" s="22">
        <v>43819</v>
      </c>
      <c r="F43" s="48">
        <f>E43-D43</f>
        <v>56</v>
      </c>
      <c r="G43" s="21" t="s">
        <v>18</v>
      </c>
      <c r="H43" s="21">
        <v>57.5</v>
      </c>
      <c r="I43" s="21">
        <v>6.35</v>
      </c>
      <c r="K43" s="21">
        <v>635</v>
      </c>
      <c r="L43" s="24">
        <v>0.46100000000000002</v>
      </c>
      <c r="O43" s="21">
        <v>7.53</v>
      </c>
      <c r="P43" s="57">
        <f>1-(I43/O43)</f>
        <v>0.15670650730411695</v>
      </c>
      <c r="U43" s="21">
        <v>59.62</v>
      </c>
      <c r="V43" s="21">
        <f>ABS(U43-H43)</f>
        <v>2.1199999999999974</v>
      </c>
      <c r="W43" s="21">
        <f>V43-I43</f>
        <v>-4.2300000000000022</v>
      </c>
    </row>
    <row r="44" spans="1:25" s="21" customFormat="1" x14ac:dyDescent="0.3">
      <c r="E44" s="22">
        <v>43819</v>
      </c>
      <c r="F44" s="22"/>
      <c r="G44" s="21" t="s">
        <v>20</v>
      </c>
      <c r="H44" s="21">
        <v>57.5</v>
      </c>
      <c r="M44" s="21">
        <v>2.12</v>
      </c>
    </row>
    <row r="45" spans="1:25" s="21" customFormat="1" x14ac:dyDescent="0.3">
      <c r="E45" s="22">
        <v>43819</v>
      </c>
      <c r="F45" s="22"/>
      <c r="G45" s="21" t="s">
        <v>19</v>
      </c>
      <c r="H45" s="21">
        <v>57.5</v>
      </c>
      <c r="M45" s="21">
        <v>0</v>
      </c>
    </row>
    <row r="46" spans="1:25" s="21" customFormat="1" x14ac:dyDescent="0.3">
      <c r="J46" s="21">
        <f>SUM(I43:I45)</f>
        <v>6.35</v>
      </c>
      <c r="M46" s="21">
        <f>SUM(M43:M45)</f>
        <v>2.12</v>
      </c>
      <c r="N46" s="21">
        <f>M46-J46</f>
        <v>-4.2299999999999995</v>
      </c>
      <c r="Q46" s="24">
        <f>N46/I43</f>
        <v>-0.66614173228346452</v>
      </c>
      <c r="R46" s="21">
        <v>0</v>
      </c>
      <c r="S46" s="21" t="b">
        <f>IF(R46=1,N46)</f>
        <v>0</v>
      </c>
      <c r="T46" s="21">
        <f>IF(R46=0,N46)</f>
        <v>-4.2299999999999995</v>
      </c>
      <c r="Y46" s="21">
        <f>Y41+N46</f>
        <v>-7.1399999999999979</v>
      </c>
    </row>
    <row r="48" spans="1:25" s="21" customFormat="1" x14ac:dyDescent="0.3">
      <c r="A48" s="21">
        <v>14</v>
      </c>
      <c r="B48" s="21" t="s">
        <v>100</v>
      </c>
      <c r="C48" s="21" t="s">
        <v>119</v>
      </c>
      <c r="D48" s="22">
        <v>43774</v>
      </c>
      <c r="E48" s="22">
        <v>43805</v>
      </c>
      <c r="F48" s="48">
        <f>E48-D48</f>
        <v>31</v>
      </c>
      <c r="G48" s="21" t="s">
        <v>18</v>
      </c>
      <c r="H48" s="21">
        <v>59.5</v>
      </c>
      <c r="I48" s="21">
        <v>3.74</v>
      </c>
      <c r="K48" s="21">
        <v>374</v>
      </c>
      <c r="L48" s="24">
        <v>0.43169999999999997</v>
      </c>
      <c r="O48" s="21">
        <v>5.96</v>
      </c>
      <c r="P48" s="57">
        <f>1-(I48/O48)</f>
        <v>0.37248322147651003</v>
      </c>
      <c r="U48" s="21">
        <v>58.99</v>
      </c>
      <c r="V48" s="21">
        <f>ABS(U48-H48)</f>
        <v>0.50999999999999801</v>
      </c>
      <c r="W48" s="21">
        <f>V48-I48</f>
        <v>-3.2300000000000022</v>
      </c>
    </row>
    <row r="49" spans="1:25" s="21" customFormat="1" x14ac:dyDescent="0.3">
      <c r="E49" s="22">
        <v>43805</v>
      </c>
      <c r="F49" s="22"/>
      <c r="G49" s="21" t="s">
        <v>20</v>
      </c>
      <c r="H49" s="21">
        <v>59.5</v>
      </c>
      <c r="M49" s="21">
        <v>0</v>
      </c>
    </row>
    <row r="50" spans="1:25" s="21" customFormat="1" x14ac:dyDescent="0.3">
      <c r="E50" s="22">
        <v>43805</v>
      </c>
      <c r="F50" s="22"/>
      <c r="G50" s="21" t="s">
        <v>19</v>
      </c>
      <c r="H50" s="21">
        <v>59.5</v>
      </c>
      <c r="M50" s="21">
        <v>0.51</v>
      </c>
    </row>
    <row r="51" spans="1:25" s="21" customFormat="1" x14ac:dyDescent="0.3">
      <c r="J51" s="21">
        <f>SUM(I48:I50)</f>
        <v>3.74</v>
      </c>
      <c r="M51" s="21">
        <f>SUM(M48:M50)</f>
        <v>0.51</v>
      </c>
      <c r="N51" s="21">
        <f>M51-J51</f>
        <v>-3.2300000000000004</v>
      </c>
      <c r="Q51" s="24">
        <f>N51/I48</f>
        <v>-0.86363636363636365</v>
      </c>
      <c r="R51" s="21">
        <v>0</v>
      </c>
      <c r="S51" s="21" t="b">
        <f>IF(R51=1,N51)</f>
        <v>0</v>
      </c>
      <c r="T51" s="21">
        <f>IF(R51=0,N51)</f>
        <v>-3.2300000000000004</v>
      </c>
      <c r="Y51" s="21">
        <f>Y46+N51</f>
        <v>-10.369999999999997</v>
      </c>
    </row>
    <row r="53" spans="1:25" s="21" customFormat="1" x14ac:dyDescent="0.3">
      <c r="A53" s="21">
        <v>15</v>
      </c>
      <c r="B53" s="21" t="s">
        <v>120</v>
      </c>
      <c r="C53" s="21" t="s">
        <v>121</v>
      </c>
      <c r="D53" s="22">
        <v>43780</v>
      </c>
      <c r="E53" s="22">
        <v>43791</v>
      </c>
      <c r="F53" s="48">
        <f>E53-D53</f>
        <v>11</v>
      </c>
      <c r="G53" s="21" t="s">
        <v>18</v>
      </c>
      <c r="H53" s="21">
        <v>58.5</v>
      </c>
      <c r="I53" s="21">
        <v>1.08</v>
      </c>
      <c r="K53" s="21">
        <v>108</v>
      </c>
      <c r="L53" s="24">
        <v>0.44040000000000001</v>
      </c>
      <c r="O53" s="21">
        <v>2.4</v>
      </c>
      <c r="P53" s="57">
        <f>1-(I53/O53)</f>
        <v>0.54999999999999993</v>
      </c>
      <c r="U53" s="21">
        <v>57.61</v>
      </c>
      <c r="V53" s="21">
        <f>ABS(U53-H53)</f>
        <v>0.89000000000000057</v>
      </c>
      <c r="W53" s="21">
        <f>V53-I53</f>
        <v>-0.1899999999999995</v>
      </c>
    </row>
    <row r="54" spans="1:25" s="21" customFormat="1" x14ac:dyDescent="0.3">
      <c r="E54" s="22">
        <v>43791</v>
      </c>
      <c r="F54" s="22"/>
      <c r="G54" s="21" t="s">
        <v>20</v>
      </c>
      <c r="H54" s="21">
        <v>58.5</v>
      </c>
      <c r="M54" s="21">
        <v>0</v>
      </c>
    </row>
    <row r="55" spans="1:25" s="21" customFormat="1" x14ac:dyDescent="0.3">
      <c r="E55" s="22">
        <v>43791</v>
      </c>
      <c r="F55" s="22"/>
      <c r="G55" s="21" t="s">
        <v>19</v>
      </c>
      <c r="H55" s="21">
        <v>58.5</v>
      </c>
      <c r="M55" s="21">
        <v>0.89</v>
      </c>
    </row>
    <row r="56" spans="1:25" s="21" customFormat="1" x14ac:dyDescent="0.3">
      <c r="J56" s="21">
        <f>SUM(I53:I55)</f>
        <v>1.08</v>
      </c>
      <c r="M56" s="21">
        <f>SUM(M53:M55)</f>
        <v>0.89</v>
      </c>
      <c r="N56" s="21">
        <f>M56-J56</f>
        <v>-0.19000000000000006</v>
      </c>
      <c r="Q56" s="24">
        <f>N56/H53</f>
        <v>-3.2478632478632487E-3</v>
      </c>
      <c r="R56" s="21">
        <v>0</v>
      </c>
      <c r="S56" s="21" t="b">
        <f>IF(R56=1,N56)</f>
        <v>0</v>
      </c>
      <c r="T56" s="21">
        <f>IF(R56=0,N56)</f>
        <v>-0.19000000000000006</v>
      </c>
      <c r="Y56" s="21">
        <f>Y51+N56</f>
        <v>-10.559999999999997</v>
      </c>
    </row>
    <row r="58" spans="1:25" s="21" customFormat="1" x14ac:dyDescent="0.3">
      <c r="A58" s="21">
        <v>16</v>
      </c>
      <c r="B58" s="21" t="s">
        <v>24</v>
      </c>
      <c r="C58" s="21" t="s">
        <v>139</v>
      </c>
      <c r="D58" s="22">
        <v>43805</v>
      </c>
      <c r="E58" s="22">
        <v>43840</v>
      </c>
      <c r="F58" s="48">
        <f>E58-D58</f>
        <v>35</v>
      </c>
      <c r="G58" s="21" t="s">
        <v>18</v>
      </c>
      <c r="H58" s="21">
        <v>29</v>
      </c>
      <c r="I58" s="21">
        <v>2.21</v>
      </c>
      <c r="K58" s="21">
        <v>2.21</v>
      </c>
      <c r="L58" s="24">
        <v>0.38069999999999998</v>
      </c>
      <c r="O58" s="21">
        <v>4.8</v>
      </c>
      <c r="P58" s="57">
        <f>1-(I58/O58)</f>
        <v>0.5395833333333333</v>
      </c>
      <c r="U58" s="21">
        <v>27.65</v>
      </c>
      <c r="V58" s="21">
        <f>ABS(U58-H58)</f>
        <v>1.3500000000000014</v>
      </c>
      <c r="W58" s="21">
        <f>N61</f>
        <v>-0.85999999999999988</v>
      </c>
    </row>
    <row r="59" spans="1:25" s="21" customFormat="1" x14ac:dyDescent="0.3">
      <c r="E59" s="22">
        <v>43840</v>
      </c>
      <c r="G59" s="21" t="s">
        <v>20</v>
      </c>
      <c r="H59" s="21">
        <v>29</v>
      </c>
      <c r="M59" s="21">
        <v>0</v>
      </c>
    </row>
    <row r="60" spans="1:25" s="21" customFormat="1" x14ac:dyDescent="0.3">
      <c r="E60" s="22">
        <v>43840</v>
      </c>
      <c r="G60" s="21" t="s">
        <v>19</v>
      </c>
      <c r="H60" s="21">
        <v>29</v>
      </c>
      <c r="M60" s="21">
        <v>1.35</v>
      </c>
    </row>
    <row r="61" spans="1:25" s="21" customFormat="1" x14ac:dyDescent="0.3">
      <c r="J61" s="21">
        <f>SUM(I58:I60)</f>
        <v>2.21</v>
      </c>
      <c r="M61" s="21">
        <f>SUM(M58:M60)</f>
        <v>1.35</v>
      </c>
      <c r="N61" s="21">
        <f>M61-J61</f>
        <v>-0.85999999999999988</v>
      </c>
      <c r="Q61" s="24">
        <f>N61/I58</f>
        <v>-0.38914027149321262</v>
      </c>
      <c r="R61" s="21">
        <v>0</v>
      </c>
      <c r="S61" s="21" t="b">
        <f>IF(R61=1,N61)</f>
        <v>0</v>
      </c>
      <c r="T61" s="21">
        <f>IF(R61=0,N61)</f>
        <v>-0.85999999999999988</v>
      </c>
      <c r="Y61" s="21">
        <f>Y56+N61</f>
        <v>-11.419999999999996</v>
      </c>
    </row>
    <row r="63" spans="1:25" s="5" customFormat="1" x14ac:dyDescent="0.3">
      <c r="A63" s="5">
        <v>17</v>
      </c>
      <c r="B63" s="5" t="s">
        <v>141</v>
      </c>
      <c r="C63" s="5" t="s">
        <v>142</v>
      </c>
      <c r="D63" s="6">
        <v>43840</v>
      </c>
      <c r="E63" s="6">
        <v>43882</v>
      </c>
      <c r="F63" s="5">
        <f>E63-D63</f>
        <v>42</v>
      </c>
      <c r="G63" s="5" t="s">
        <v>18</v>
      </c>
      <c r="H63" s="5">
        <v>75</v>
      </c>
      <c r="I63" s="5">
        <v>6.2</v>
      </c>
      <c r="K63" s="5">
        <v>6.2</v>
      </c>
      <c r="L63" s="7">
        <v>0.40770000000000001</v>
      </c>
      <c r="O63" s="5">
        <v>9.64</v>
      </c>
      <c r="P63" s="38">
        <f>1-(I63/O63)</f>
        <v>0.35684647302904571</v>
      </c>
      <c r="U63" s="5">
        <v>88.73</v>
      </c>
      <c r="V63" s="5">
        <f>ABS(U63-H63)</f>
        <v>13.730000000000004</v>
      </c>
      <c r="W63" s="5">
        <f>N66</f>
        <v>7.53</v>
      </c>
    </row>
    <row r="64" spans="1:25" s="5" customFormat="1" x14ac:dyDescent="0.3">
      <c r="E64" s="6">
        <v>43882</v>
      </c>
      <c r="G64" s="5" t="s">
        <v>20</v>
      </c>
      <c r="H64" s="5">
        <v>75</v>
      </c>
      <c r="M64" s="5">
        <v>13.73</v>
      </c>
    </row>
    <row r="65" spans="1:25" s="5" customFormat="1" x14ac:dyDescent="0.3">
      <c r="E65" s="6">
        <v>43882</v>
      </c>
      <c r="G65" s="5" t="s">
        <v>19</v>
      </c>
      <c r="H65" s="5">
        <v>75</v>
      </c>
      <c r="M65" s="5">
        <v>0</v>
      </c>
    </row>
    <row r="66" spans="1:25" s="5" customFormat="1" x14ac:dyDescent="0.3">
      <c r="J66" s="5">
        <f>SUM(I63:I65)</f>
        <v>6.2</v>
      </c>
      <c r="M66" s="5">
        <f>SUM(M63:M65)</f>
        <v>13.73</v>
      </c>
      <c r="N66" s="5">
        <f>M66-J66</f>
        <v>7.53</v>
      </c>
      <c r="O66" s="29"/>
      <c r="Q66" s="7">
        <f>N66/I63</f>
        <v>1.2145161290322581</v>
      </c>
      <c r="R66" s="5">
        <v>1</v>
      </c>
      <c r="S66" s="5">
        <f>IF(R66=1,N66)</f>
        <v>7.53</v>
      </c>
      <c r="T66" s="5" t="b">
        <f>IF(R66=0,N66)</f>
        <v>0</v>
      </c>
      <c r="Y66" s="5">
        <f>Y61+N66</f>
        <v>-3.8899999999999961</v>
      </c>
    </row>
    <row r="68" spans="1:25" s="5" customFormat="1" x14ac:dyDescent="0.3">
      <c r="A68" s="5">
        <v>18</v>
      </c>
      <c r="B68" s="5" t="s">
        <v>141</v>
      </c>
      <c r="C68" s="5" t="s">
        <v>144</v>
      </c>
      <c r="D68" s="6">
        <v>43847</v>
      </c>
      <c r="E68" s="6">
        <v>43910</v>
      </c>
      <c r="F68" s="5">
        <f>E68-D68</f>
        <v>63</v>
      </c>
      <c r="G68" s="5" t="s">
        <v>18</v>
      </c>
      <c r="H68" s="5">
        <v>31</v>
      </c>
      <c r="I68" s="5">
        <v>3.75</v>
      </c>
      <c r="K68" s="5">
        <v>3.75</v>
      </c>
      <c r="L68" s="7">
        <v>0.29530000000000001</v>
      </c>
      <c r="O68" s="5">
        <v>5.08</v>
      </c>
      <c r="P68" s="38">
        <f>1-(I68/O68)</f>
        <v>0.26181102362204722</v>
      </c>
      <c r="U68" s="5">
        <v>13.64</v>
      </c>
      <c r="V68" s="5">
        <f>ABS(U68-H68)</f>
        <v>17.36</v>
      </c>
      <c r="W68" s="5">
        <f>N71</f>
        <v>13.61</v>
      </c>
    </row>
    <row r="69" spans="1:25" s="5" customFormat="1" x14ac:dyDescent="0.3">
      <c r="E69" s="6">
        <v>43910</v>
      </c>
      <c r="G69" s="5" t="s">
        <v>20</v>
      </c>
      <c r="H69" s="5">
        <v>31</v>
      </c>
      <c r="M69" s="5">
        <v>0</v>
      </c>
    </row>
    <row r="70" spans="1:25" s="5" customFormat="1" x14ac:dyDescent="0.3">
      <c r="E70" s="6">
        <v>43910</v>
      </c>
      <c r="G70" s="5" t="s">
        <v>19</v>
      </c>
      <c r="H70" s="5">
        <v>31</v>
      </c>
      <c r="M70" s="5">
        <v>17.36</v>
      </c>
    </row>
    <row r="71" spans="1:25" s="5" customFormat="1" x14ac:dyDescent="0.3">
      <c r="J71" s="5">
        <f>SUM(I68:I70)</f>
        <v>3.75</v>
      </c>
      <c r="M71" s="5">
        <f>SUM(M68:M70)</f>
        <v>17.36</v>
      </c>
      <c r="N71" s="5">
        <f>M71-J71</f>
        <v>13.61</v>
      </c>
      <c r="O71" s="29"/>
      <c r="Q71" s="7">
        <f>N71/I68</f>
        <v>3.6293333333333333</v>
      </c>
      <c r="R71" s="5">
        <v>1</v>
      </c>
      <c r="S71" s="5">
        <f>IF(R71=1,N71)</f>
        <v>13.61</v>
      </c>
      <c r="T71" s="5" t="b">
        <f>IF(R71=0,N71)</f>
        <v>0</v>
      </c>
      <c r="Y71" s="5">
        <f>Y66+N71</f>
        <v>9.7200000000000024</v>
      </c>
    </row>
    <row r="75" spans="1:25" x14ac:dyDescent="0.3">
      <c r="R75" s="2"/>
      <c r="U75" s="3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A458-F22E-AA48-9918-4CB2A212AEAA}">
  <dimension ref="A1:AG8"/>
  <sheetViews>
    <sheetView workbookViewId="0">
      <selection activeCell="O2" sqref="O2"/>
    </sheetView>
  </sheetViews>
  <sheetFormatPr baseColWidth="10" defaultRowHeight="16" x14ac:dyDescent="0.2"/>
  <cols>
    <col min="4" max="4" width="11.33203125" bestFit="1" customWidth="1"/>
    <col min="5" max="5" width="20.33203125" bestFit="1" customWidth="1"/>
    <col min="6" max="6" width="28.83203125" bestFit="1" customWidth="1"/>
    <col min="7" max="7" width="11.1640625" bestFit="1" customWidth="1"/>
    <col min="8" max="8" width="13.1640625" bestFit="1" customWidth="1"/>
    <col min="9" max="9" width="25.5" bestFit="1" customWidth="1"/>
    <col min="10" max="10" width="24.83203125" bestFit="1" customWidth="1"/>
    <col min="11" max="11" width="17" bestFit="1" customWidth="1"/>
    <col min="12" max="12" width="25.1640625" bestFit="1" customWidth="1"/>
    <col min="13" max="13" width="21.83203125" bestFit="1" customWidth="1"/>
    <col min="14" max="14" width="15.33203125" bestFit="1" customWidth="1"/>
    <col min="15" max="15" width="16.1640625" bestFit="1" customWidth="1"/>
    <col min="16" max="16" width="24.83203125" bestFit="1" customWidth="1"/>
    <col min="17" max="17" width="16.6640625" bestFit="1" customWidth="1"/>
    <col min="18" max="18" width="5" customWidth="1"/>
    <col min="20" max="20" width="28.83203125" bestFit="1" customWidth="1"/>
    <col min="30" max="30" width="15" bestFit="1" customWidth="1"/>
  </cols>
  <sheetData>
    <row r="1" spans="1:33" ht="24" x14ac:dyDescent="0.3">
      <c r="F1" s="1" t="s">
        <v>137</v>
      </c>
      <c r="I1" s="1" t="s">
        <v>134</v>
      </c>
      <c r="J1" s="1" t="s">
        <v>135</v>
      </c>
      <c r="K1" s="1" t="s">
        <v>125</v>
      </c>
      <c r="L1" s="1" t="s">
        <v>123</v>
      </c>
      <c r="M1" s="1"/>
      <c r="N1" s="1" t="s">
        <v>63</v>
      </c>
      <c r="O1" s="1" t="s">
        <v>122</v>
      </c>
      <c r="P1" s="1"/>
      <c r="Q1" s="1"/>
      <c r="R1" s="1"/>
      <c r="S1" s="1" t="s">
        <v>70</v>
      </c>
    </row>
    <row r="2" spans="1:33" s="1" customFormat="1" ht="24" x14ac:dyDescent="0.3">
      <c r="F2" s="47">
        <f>AVERAGE(F4:F8)</f>
        <v>39.333333333333336</v>
      </c>
      <c r="I2" s="43">
        <f>AVERAGE(I4:I8)</f>
        <v>17.183333333333334</v>
      </c>
      <c r="J2" s="43">
        <f>AVERAGE(J4:J8)</f>
        <v>0.70666666666666667</v>
      </c>
      <c r="K2" s="43">
        <f>AVERAGE(K4:K8)</f>
        <v>16.476666666666667</v>
      </c>
      <c r="L2" s="33">
        <f>AVERAGE(L4:L8)</f>
        <v>0.62003333333333333</v>
      </c>
      <c r="N2" s="32">
        <f>SUM(N4:N1048576)*100</f>
        <v>213.00000000000009</v>
      </c>
      <c r="O2" s="46">
        <f>AVERAGE(N4:N8)</f>
        <v>0.7100000000000003</v>
      </c>
      <c r="S2" s="33">
        <f>AVERAGE(S4:S1048576)</f>
        <v>0.66666666666666663</v>
      </c>
    </row>
    <row r="3" spans="1:33" s="13" customFormat="1" ht="24" x14ac:dyDescent="0.3">
      <c r="A3" s="13" t="s">
        <v>11</v>
      </c>
      <c r="B3" s="13" t="s">
        <v>8</v>
      </c>
      <c r="C3" s="13" t="s">
        <v>0</v>
      </c>
      <c r="D3" s="13" t="s">
        <v>1</v>
      </c>
      <c r="E3" s="13" t="s">
        <v>5</v>
      </c>
      <c r="F3" s="13" t="s">
        <v>136</v>
      </c>
      <c r="G3" s="13" t="s">
        <v>18</v>
      </c>
      <c r="H3" s="13" t="s">
        <v>2</v>
      </c>
      <c r="I3" s="13" t="s">
        <v>36</v>
      </c>
      <c r="J3" s="13" t="s">
        <v>35</v>
      </c>
      <c r="K3" s="13" t="s">
        <v>10</v>
      </c>
      <c r="L3" s="14" t="s">
        <v>13</v>
      </c>
      <c r="M3" s="13" t="s">
        <v>14</v>
      </c>
      <c r="N3" s="13" t="s">
        <v>55</v>
      </c>
      <c r="O3" s="13" t="s">
        <v>32</v>
      </c>
      <c r="P3" s="13" t="s">
        <v>54</v>
      </c>
      <c r="Q3" s="13" t="s">
        <v>12</v>
      </c>
      <c r="AD3" s="13" t="s">
        <v>41</v>
      </c>
      <c r="AE3" s="13" t="s">
        <v>42</v>
      </c>
    </row>
    <row r="4" spans="1:33" s="21" customFormat="1" ht="24" x14ac:dyDescent="0.3">
      <c r="A4" s="21">
        <v>1</v>
      </c>
      <c r="B4" s="21" t="s">
        <v>40</v>
      </c>
      <c r="C4" s="21" t="s">
        <v>33</v>
      </c>
      <c r="D4" s="22">
        <v>43497</v>
      </c>
      <c r="E4" s="22">
        <v>43539</v>
      </c>
      <c r="F4" s="21">
        <f>E4-D4</f>
        <v>42</v>
      </c>
      <c r="G4" s="21" t="s">
        <v>34</v>
      </c>
      <c r="H4" s="21">
        <v>11</v>
      </c>
      <c r="I4" s="21">
        <f>K4+J4</f>
        <v>10.530000000000001</v>
      </c>
      <c r="J4" s="21">
        <v>0.54</v>
      </c>
      <c r="K4" s="21">
        <v>9.99</v>
      </c>
      <c r="L4" s="24">
        <v>0.61329999999999996</v>
      </c>
      <c r="M4" s="21">
        <v>7</v>
      </c>
      <c r="N4" s="27">
        <f>P4-K4</f>
        <v>-2.9999999999999361E-2</v>
      </c>
      <c r="O4" s="24">
        <f>(H4-K4)/K4</f>
        <v>0.10110110110110107</v>
      </c>
      <c r="P4" s="28">
        <v>9.9600000000000009</v>
      </c>
      <c r="S4" s="21">
        <f>IF(N4&gt;0,1,0)</f>
        <v>0</v>
      </c>
      <c r="AD4" s="21">
        <f>H4-I4</f>
        <v>0.46999999999999886</v>
      </c>
      <c r="AE4" s="21">
        <v>0.77</v>
      </c>
      <c r="AF4" s="21">
        <f>AE4-J4</f>
        <v>0.22999999999999998</v>
      </c>
      <c r="AG4" s="21">
        <f>J4+AD4-AE4</f>
        <v>0.23999999999999888</v>
      </c>
    </row>
    <row r="6" spans="1:33" s="5" customFormat="1" ht="24" x14ac:dyDescent="0.3">
      <c r="A6" s="5">
        <v>2</v>
      </c>
      <c r="B6" s="5" t="s">
        <v>40</v>
      </c>
      <c r="C6" s="5" t="s">
        <v>39</v>
      </c>
      <c r="D6" s="6">
        <v>43511</v>
      </c>
      <c r="E6" s="6">
        <v>43539</v>
      </c>
      <c r="F6" s="5">
        <f>E6-D6</f>
        <v>28</v>
      </c>
      <c r="G6" s="5" t="s">
        <v>34</v>
      </c>
      <c r="H6" s="5">
        <v>11</v>
      </c>
      <c r="I6" s="5">
        <v>10.87</v>
      </c>
      <c r="J6" s="5">
        <v>0.5</v>
      </c>
      <c r="K6" s="5">
        <f>I6-J6</f>
        <v>10.37</v>
      </c>
      <c r="L6" s="7">
        <v>0.63180000000000003</v>
      </c>
      <c r="M6" s="5">
        <v>6</v>
      </c>
      <c r="N6" s="29">
        <f>P6-K6</f>
        <v>0.15000000000000036</v>
      </c>
      <c r="O6" s="7">
        <v>4.82E-2</v>
      </c>
      <c r="P6" s="30">
        <v>10.52</v>
      </c>
      <c r="S6" s="5">
        <f>IF(N6&gt;0,1,0)</f>
        <v>1</v>
      </c>
      <c r="AC6" s="5">
        <v>10.6</v>
      </c>
      <c r="AD6" s="5">
        <f>AC6-I6</f>
        <v>-0.26999999999999957</v>
      </c>
      <c r="AE6" s="5">
        <v>0.3</v>
      </c>
      <c r="AF6" s="5">
        <v>0.18</v>
      </c>
      <c r="AG6" s="5">
        <f>J6+AD6-AE6</f>
        <v>-6.9999999999999563E-2</v>
      </c>
    </row>
    <row r="8" spans="1:33" s="5" customFormat="1" ht="24" x14ac:dyDescent="0.3">
      <c r="A8" s="5">
        <v>3</v>
      </c>
      <c r="B8" s="5" t="s">
        <v>40</v>
      </c>
      <c r="C8" s="5" t="s">
        <v>47</v>
      </c>
      <c r="D8" s="6">
        <v>43525</v>
      </c>
      <c r="E8" s="6">
        <v>43573</v>
      </c>
      <c r="F8" s="5">
        <f>E8-D8</f>
        <v>48</v>
      </c>
      <c r="G8" s="5" t="s">
        <v>34</v>
      </c>
      <c r="H8" s="5">
        <v>31</v>
      </c>
      <c r="I8" s="5">
        <v>30.15</v>
      </c>
      <c r="J8" s="5">
        <v>1.08</v>
      </c>
      <c r="K8" s="5">
        <v>29.07</v>
      </c>
      <c r="L8" s="7">
        <v>0.61499999999999999</v>
      </c>
      <c r="M8" s="5">
        <v>4</v>
      </c>
      <c r="N8" s="29">
        <v>2.0099999999999998</v>
      </c>
      <c r="O8" s="7">
        <v>6.6299999999999998E-2</v>
      </c>
      <c r="P8" s="30">
        <v>30.82</v>
      </c>
      <c r="Q8" s="5" t="s">
        <v>48</v>
      </c>
      <c r="S8" s="5">
        <f>IF(N8&gt;0,1,0)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6A63-124B-CB48-AB78-B138E6D0A678}">
  <dimension ref="A1:V4"/>
  <sheetViews>
    <sheetView workbookViewId="0">
      <selection activeCell="R8" sqref="R8"/>
    </sheetView>
  </sheetViews>
  <sheetFormatPr baseColWidth="10" defaultRowHeight="16" x14ac:dyDescent="0.2"/>
  <cols>
    <col min="1" max="1" width="10.6640625" bestFit="1" customWidth="1"/>
    <col min="4" max="4" width="9.83203125" bestFit="1" customWidth="1"/>
    <col min="5" max="5" width="20.33203125" bestFit="1" customWidth="1"/>
    <col min="6" max="6" width="20.33203125" customWidth="1"/>
    <col min="7" max="7" width="11.1640625" bestFit="1" customWidth="1"/>
    <col min="8" max="8" width="13.5" bestFit="1" customWidth="1"/>
    <col min="9" max="9" width="14.83203125" bestFit="1" customWidth="1"/>
    <col min="10" max="10" width="16.33203125" bestFit="1" customWidth="1"/>
    <col min="11" max="11" width="13" bestFit="1" customWidth="1"/>
    <col min="12" max="12" width="14.33203125" bestFit="1" customWidth="1"/>
    <col min="13" max="13" width="17.5" bestFit="1" customWidth="1"/>
    <col min="14" max="14" width="14.83203125" bestFit="1" customWidth="1"/>
    <col min="15" max="15" width="21.83203125" customWidth="1"/>
  </cols>
  <sheetData>
    <row r="1" spans="1:22" ht="24" x14ac:dyDescent="0.3">
      <c r="F1" t="s">
        <v>137</v>
      </c>
      <c r="J1" t="s">
        <v>127</v>
      </c>
      <c r="L1" t="s">
        <v>123</v>
      </c>
      <c r="N1" s="1" t="s">
        <v>63</v>
      </c>
      <c r="O1" s="1" t="s">
        <v>122</v>
      </c>
      <c r="R1" s="1" t="s">
        <v>70</v>
      </c>
    </row>
    <row r="2" spans="1:22" s="1" customFormat="1" ht="24" x14ac:dyDescent="0.3">
      <c r="F2" s="1">
        <f>AVERAGE(F4)</f>
        <v>32</v>
      </c>
      <c r="J2" s="1">
        <f>AVERAGE(J4)</f>
        <v>4.45</v>
      </c>
      <c r="L2" s="33">
        <f>AVERAGE(L4)</f>
        <v>0.2833</v>
      </c>
      <c r="N2" s="32">
        <f>SUM(N4:N1048576)*100</f>
        <v>576</v>
      </c>
      <c r="O2" s="50">
        <f>AVERAGE(N4)</f>
        <v>5.76</v>
      </c>
      <c r="R2" s="33">
        <f>AVERAGE(R4:R1048576)</f>
        <v>1</v>
      </c>
    </row>
    <row r="3" spans="1:22" s="13" customFormat="1" ht="24" x14ac:dyDescent="0.3">
      <c r="A3" s="13" t="s">
        <v>11</v>
      </c>
      <c r="B3" s="13" t="s">
        <v>8</v>
      </c>
      <c r="C3" s="13" t="s">
        <v>0</v>
      </c>
      <c r="D3" s="13" t="s">
        <v>1</v>
      </c>
      <c r="E3" s="13" t="s">
        <v>5</v>
      </c>
      <c r="F3" s="13" t="s">
        <v>136</v>
      </c>
      <c r="G3" s="13" t="s">
        <v>18</v>
      </c>
      <c r="H3" s="13" t="s">
        <v>3</v>
      </c>
      <c r="I3" s="13" t="s">
        <v>36</v>
      </c>
      <c r="J3" s="13" t="s">
        <v>59</v>
      </c>
      <c r="K3" s="13" t="s">
        <v>10</v>
      </c>
      <c r="L3" s="14" t="s">
        <v>13</v>
      </c>
      <c r="M3" s="13" t="s">
        <v>6</v>
      </c>
      <c r="N3" s="13" t="s">
        <v>62</v>
      </c>
      <c r="O3" s="13" t="s">
        <v>61</v>
      </c>
      <c r="P3" s="13" t="s">
        <v>12</v>
      </c>
    </row>
    <row r="4" spans="1:22" s="5" customFormat="1" ht="24" x14ac:dyDescent="0.3">
      <c r="A4" s="5">
        <v>2</v>
      </c>
      <c r="B4" s="5" t="s">
        <v>56</v>
      </c>
      <c r="C4" s="5" t="s">
        <v>57</v>
      </c>
      <c r="D4" s="6">
        <v>43556</v>
      </c>
      <c r="E4" s="6">
        <v>43588</v>
      </c>
      <c r="F4" s="41">
        <f>E4-D4</f>
        <v>32</v>
      </c>
      <c r="G4" s="5" t="s">
        <v>34</v>
      </c>
      <c r="H4" s="5">
        <v>185</v>
      </c>
      <c r="I4" s="30">
        <v>191.24</v>
      </c>
      <c r="J4" s="30">
        <v>4.45</v>
      </c>
      <c r="K4" s="30">
        <v>445</v>
      </c>
      <c r="L4" s="7">
        <v>0.2833</v>
      </c>
      <c r="M4" s="30">
        <v>4.4000000000000004</v>
      </c>
      <c r="N4" s="30">
        <v>5.76</v>
      </c>
      <c r="O4" s="7">
        <f>N4/J4</f>
        <v>1.29438202247191</v>
      </c>
      <c r="P4" s="5" t="s">
        <v>60</v>
      </c>
      <c r="R4" s="5">
        <f>IF(N4&gt;0,1,0)</f>
        <v>1</v>
      </c>
      <c r="V4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8FC3-EDD6-E349-8741-97C2372009AD}">
  <dimension ref="A1:Q3"/>
  <sheetViews>
    <sheetView workbookViewId="0">
      <selection sqref="A1:XFD1048576"/>
    </sheetView>
  </sheetViews>
  <sheetFormatPr baseColWidth="10" defaultRowHeight="16" x14ac:dyDescent="0.2"/>
  <cols>
    <col min="1" max="1" width="10.6640625" bestFit="1" customWidth="1"/>
    <col min="4" max="4" width="9.83203125" bestFit="1" customWidth="1"/>
    <col min="5" max="5" width="20.33203125" bestFit="1" customWidth="1"/>
    <col min="6" max="6" width="11.1640625" bestFit="1" customWidth="1"/>
    <col min="7" max="7" width="13.5" bestFit="1" customWidth="1"/>
    <col min="8" max="8" width="14.83203125" bestFit="1" customWidth="1"/>
    <col min="9" max="9" width="10" bestFit="1" customWidth="1"/>
    <col min="10" max="10" width="13" bestFit="1" customWidth="1"/>
    <col min="11" max="11" width="14.33203125" bestFit="1" customWidth="1"/>
    <col min="12" max="12" width="17.5" bestFit="1" customWidth="1"/>
    <col min="13" max="13" width="14.83203125" bestFit="1" customWidth="1"/>
    <col min="14" max="14" width="21.83203125" customWidth="1"/>
  </cols>
  <sheetData>
    <row r="1" spans="1:17" ht="24" x14ac:dyDescent="0.3">
      <c r="M1" s="1" t="s">
        <v>63</v>
      </c>
      <c r="N1" s="1"/>
      <c r="Q1" s="1" t="s">
        <v>70</v>
      </c>
    </row>
    <row r="2" spans="1:17" s="1" customFormat="1" ht="24" x14ac:dyDescent="0.3">
      <c r="M2" s="32">
        <f>SUM(M4:M1048576)*100</f>
        <v>0</v>
      </c>
      <c r="N2" s="2"/>
      <c r="Q2" s="33" t="e">
        <f>AVERAGE(Q4:Q1048576)</f>
        <v>#DIV/0!</v>
      </c>
    </row>
    <row r="3" spans="1:17" s="13" customFormat="1" ht="24" x14ac:dyDescent="0.3">
      <c r="A3" s="13" t="s">
        <v>11</v>
      </c>
      <c r="B3" s="13" t="s">
        <v>8</v>
      </c>
      <c r="C3" s="13" t="s">
        <v>0</v>
      </c>
      <c r="D3" s="13" t="s">
        <v>1</v>
      </c>
      <c r="E3" s="13" t="s">
        <v>5</v>
      </c>
      <c r="F3" s="13" t="s">
        <v>18</v>
      </c>
      <c r="G3" s="13" t="s">
        <v>3</v>
      </c>
      <c r="H3" s="13" t="s">
        <v>36</v>
      </c>
      <c r="I3" s="13" t="s">
        <v>59</v>
      </c>
      <c r="J3" s="13" t="s">
        <v>10</v>
      </c>
      <c r="K3" s="14" t="s">
        <v>13</v>
      </c>
      <c r="L3" s="13" t="s">
        <v>6</v>
      </c>
      <c r="M3" s="13" t="s">
        <v>62</v>
      </c>
      <c r="N3" s="13" t="s">
        <v>61</v>
      </c>
      <c r="O3" s="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A393-5CC4-1343-8958-CB5F68DA0E50}">
  <dimension ref="A1:T6"/>
  <sheetViews>
    <sheetView workbookViewId="0">
      <selection activeCell="M6" sqref="M6"/>
    </sheetView>
  </sheetViews>
  <sheetFormatPr baseColWidth="10" defaultRowHeight="16" x14ac:dyDescent="0.2"/>
  <cols>
    <col min="1" max="1" width="10.6640625" bestFit="1" customWidth="1"/>
    <col min="4" max="4" width="9.83203125" bestFit="1" customWidth="1"/>
    <col min="5" max="5" width="20.33203125" bestFit="1" customWidth="1"/>
    <col min="6" max="6" width="11.1640625" bestFit="1" customWidth="1"/>
    <col min="7" max="7" width="13.5" bestFit="1" customWidth="1"/>
    <col min="8" max="8" width="14.83203125" bestFit="1" customWidth="1"/>
    <col min="9" max="9" width="10" bestFit="1" customWidth="1"/>
    <col min="10" max="10" width="13" bestFit="1" customWidth="1"/>
    <col min="11" max="11" width="14.33203125" bestFit="1" customWidth="1"/>
    <col min="12" max="12" width="14.33203125" customWidth="1"/>
    <col min="13" max="13" width="17.5" bestFit="1" customWidth="1"/>
    <col min="14" max="14" width="14.83203125" bestFit="1" customWidth="1"/>
    <col min="15" max="15" width="21.83203125" customWidth="1"/>
    <col min="16" max="16" width="12.1640625" bestFit="1" customWidth="1"/>
  </cols>
  <sheetData>
    <row r="1" spans="1:20" ht="24" x14ac:dyDescent="0.3">
      <c r="N1" s="1" t="s">
        <v>63</v>
      </c>
      <c r="O1" s="1"/>
      <c r="R1" s="1" t="s">
        <v>70</v>
      </c>
    </row>
    <row r="2" spans="1:20" s="1" customFormat="1" ht="24" x14ac:dyDescent="0.3">
      <c r="N2" s="32">
        <f>SUM(N4:N1048576)*100</f>
        <v>-25</v>
      </c>
      <c r="O2" s="2"/>
      <c r="R2" s="33">
        <f>AVERAGE(R4:R1048576)</f>
        <v>0</v>
      </c>
    </row>
    <row r="3" spans="1:20" s="13" customFormat="1" ht="24" x14ac:dyDescent="0.3">
      <c r="A3" s="13" t="s">
        <v>11</v>
      </c>
      <c r="B3" s="13" t="s">
        <v>8</v>
      </c>
      <c r="C3" s="13" t="s">
        <v>0</v>
      </c>
      <c r="D3" s="13" t="s">
        <v>1</v>
      </c>
      <c r="E3" s="13" t="s">
        <v>5</v>
      </c>
      <c r="F3" s="13" t="s">
        <v>19</v>
      </c>
      <c r="G3" s="13" t="s">
        <v>2</v>
      </c>
      <c r="H3" s="13" t="s">
        <v>36</v>
      </c>
      <c r="I3" s="13" t="s">
        <v>149</v>
      </c>
      <c r="J3" s="13" t="s">
        <v>10</v>
      </c>
      <c r="K3" s="14" t="s">
        <v>13</v>
      </c>
      <c r="L3" s="14" t="s">
        <v>30</v>
      </c>
      <c r="M3" s="13" t="s">
        <v>6</v>
      </c>
      <c r="N3" s="13" t="s">
        <v>62</v>
      </c>
      <c r="O3" s="13" t="s">
        <v>61</v>
      </c>
      <c r="P3" s="13" t="s">
        <v>12</v>
      </c>
      <c r="Q3" s="13" t="s">
        <v>148</v>
      </c>
    </row>
    <row r="4" spans="1:20" ht="24" x14ac:dyDescent="0.3">
      <c r="A4" s="1">
        <v>1</v>
      </c>
      <c r="B4" s="1" t="s">
        <v>24</v>
      </c>
      <c r="C4" s="1" t="s">
        <v>146</v>
      </c>
      <c r="D4" s="4">
        <v>43866</v>
      </c>
      <c r="E4" s="4">
        <v>44211</v>
      </c>
      <c r="F4" s="1" t="s">
        <v>19</v>
      </c>
      <c r="G4" s="1">
        <v>22.5</v>
      </c>
      <c r="H4" s="1">
        <v>25.66</v>
      </c>
      <c r="I4" s="1">
        <v>2.6</v>
      </c>
      <c r="J4" s="1">
        <f>G4-I4</f>
        <v>19.899999999999999</v>
      </c>
      <c r="K4" s="1">
        <v>73.37</v>
      </c>
      <c r="L4" s="1">
        <v>1.61</v>
      </c>
      <c r="M4" s="1"/>
      <c r="N4" s="1"/>
      <c r="P4" s="2">
        <f>I4/J4</f>
        <v>0.1306532663316583</v>
      </c>
    </row>
    <row r="5" spans="1:20" s="1" customFormat="1" ht="24" x14ac:dyDescent="0.3">
      <c r="E5" s="4">
        <v>44211</v>
      </c>
      <c r="F5" s="1" t="s">
        <v>19</v>
      </c>
      <c r="G5" s="1">
        <v>22.5</v>
      </c>
      <c r="M5" s="1">
        <v>2.85</v>
      </c>
    </row>
    <row r="6" spans="1:20" s="1" customFormat="1" ht="24" x14ac:dyDescent="0.3">
      <c r="I6" s="1">
        <f>SUM(I4:I5)</f>
        <v>2.6</v>
      </c>
      <c r="M6" s="1">
        <f>SUM(M4:M5)</f>
        <v>2.85</v>
      </c>
      <c r="N6" s="1">
        <f>I6-M6</f>
        <v>-0.25</v>
      </c>
      <c r="P6" s="2">
        <f>N6/J4</f>
        <v>-1.2562814070351759E-2</v>
      </c>
      <c r="Q6" s="1">
        <f>I4/J4</f>
        <v>0.1306532663316583</v>
      </c>
      <c r="R6" s="1">
        <v>0</v>
      </c>
      <c r="S6" s="1" t="b">
        <f>IF(R6=1,N6)</f>
        <v>0</v>
      </c>
      <c r="T6" s="1">
        <f>IF(R6=0,N6)</f>
        <v>-0.25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2338-B8B5-8C40-BEAA-021CD4E87580}">
  <dimension ref="A1:H11"/>
  <sheetViews>
    <sheetView zoomScale="150" zoomScaleNormal="150" workbookViewId="0">
      <selection activeCell="A13" sqref="A13"/>
    </sheetView>
  </sheetViews>
  <sheetFormatPr baseColWidth="10" defaultRowHeight="24" x14ac:dyDescent="0.3"/>
  <cols>
    <col min="1" max="1" width="23" style="1" bestFit="1" customWidth="1"/>
    <col min="2" max="2" width="33.1640625" style="1" bestFit="1" customWidth="1"/>
    <col min="3" max="3" width="15.1640625" style="1" bestFit="1" customWidth="1"/>
    <col min="4" max="4" width="16.83203125" style="1" bestFit="1" customWidth="1"/>
    <col min="5" max="6" width="12.83203125" style="1" bestFit="1" customWidth="1"/>
    <col min="7" max="7" width="15.1640625" style="1" bestFit="1" customWidth="1"/>
    <col min="8" max="8" width="16.83203125" style="1" bestFit="1" customWidth="1"/>
    <col min="9" max="16384" width="10.83203125" style="1"/>
  </cols>
  <sheetData>
    <row r="1" spans="1:8" x14ac:dyDescent="0.3">
      <c r="B1" s="1" t="s">
        <v>68</v>
      </c>
      <c r="C1" s="1" t="s">
        <v>69</v>
      </c>
      <c r="E1" s="4" t="s">
        <v>9</v>
      </c>
      <c r="F1" s="4">
        <v>43433</v>
      </c>
      <c r="G1" s="1">
        <v>273.98</v>
      </c>
      <c r="H1" s="3">
        <f>G1*100</f>
        <v>27398</v>
      </c>
    </row>
    <row r="2" spans="1:8" x14ac:dyDescent="0.3">
      <c r="A2" s="1" t="s">
        <v>64</v>
      </c>
      <c r="B2" s="32">
        <f>'Credit Spreads'!O2</f>
        <v>1452.0000000000007</v>
      </c>
      <c r="C2" s="37">
        <f>'Credit Spreads'!R2</f>
        <v>0.9452054794520548</v>
      </c>
      <c r="E2" s="4"/>
      <c r="F2" s="4">
        <v>43626</v>
      </c>
      <c r="G2" s="1">
        <v>288.10000000000002</v>
      </c>
      <c r="H2" s="3">
        <f t="shared" ref="H2:H3" si="0">G2*100</f>
        <v>28810.000000000004</v>
      </c>
    </row>
    <row r="3" spans="1:8" x14ac:dyDescent="0.3">
      <c r="A3" s="1" t="s">
        <v>65</v>
      </c>
      <c r="B3" s="32">
        <f>Straddles!N2</f>
        <v>972.00000000000023</v>
      </c>
      <c r="C3" s="37">
        <f>Straddles!R2</f>
        <v>0.33333333333333331</v>
      </c>
      <c r="F3" s="1" t="s">
        <v>91</v>
      </c>
      <c r="G3" s="3">
        <f>(G2-G1)</f>
        <v>14.120000000000005</v>
      </c>
      <c r="H3" s="3">
        <f t="shared" si="0"/>
        <v>1412.0000000000005</v>
      </c>
    </row>
    <row r="4" spans="1:8" x14ac:dyDescent="0.3">
      <c r="A4" s="1" t="s">
        <v>66</v>
      </c>
      <c r="B4" s="32">
        <f>'Covered Call'!N2</f>
        <v>213.00000000000009</v>
      </c>
      <c r="C4" s="37">
        <f>'Covered Call'!S2</f>
        <v>0.66666666666666663</v>
      </c>
      <c r="F4" s="1" t="s">
        <v>61</v>
      </c>
      <c r="G4" s="2">
        <f>G3/(G1)</f>
        <v>5.1536608511570201E-2</v>
      </c>
    </row>
    <row r="5" spans="1:8" x14ac:dyDescent="0.3">
      <c r="A5" s="1" t="s">
        <v>67</v>
      </c>
      <c r="B5" s="32">
        <f>'Call Purchase'!N2</f>
        <v>576</v>
      </c>
      <c r="C5" s="37">
        <f>'Call Purchase'!R2</f>
        <v>1</v>
      </c>
    </row>
    <row r="9" spans="1:8" x14ac:dyDescent="0.3">
      <c r="A9" s="1" t="s">
        <v>71</v>
      </c>
      <c r="B9" s="32">
        <f>SUM(B2:B8)</f>
        <v>3213.0000000000009</v>
      </c>
      <c r="C9" s="32"/>
      <c r="D9" s="32"/>
      <c r="E9" s="32"/>
    </row>
    <row r="11" spans="1:8" x14ac:dyDescent="0.3">
      <c r="B11" s="42"/>
      <c r="C11" s="34"/>
      <c r="D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New Trades</vt:lpstr>
      <vt:lpstr>Credit Spreads</vt:lpstr>
      <vt:lpstr>Covid Down</vt:lpstr>
      <vt:lpstr>Covid Back Up</vt:lpstr>
      <vt:lpstr>Straddles</vt:lpstr>
      <vt:lpstr>Covered Call</vt:lpstr>
      <vt:lpstr>Call Purchase</vt:lpstr>
      <vt:lpstr>Put Purchase</vt:lpstr>
      <vt:lpstr>Short Put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Strain</dc:creator>
  <cp:lastModifiedBy>Microsoft Office User</cp:lastModifiedBy>
  <dcterms:created xsi:type="dcterms:W3CDTF">2018-12-04T17:33:57Z</dcterms:created>
  <dcterms:modified xsi:type="dcterms:W3CDTF">2020-07-20T16:31:29Z</dcterms:modified>
</cp:coreProperties>
</file>